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605" windowHeight="17475" tabRatio="500"/>
  </bookViews>
  <sheets>
    <sheet name="ATOS 1" sheetId="1" r:id="rId1"/>
  </sheets>
  <externalReferences>
    <externalReference r:id="rId2"/>
    <externalReference r:id="rId3"/>
    <externalReference r:id="rId4"/>
  </externalReferences>
  <definedNames>
    <definedName name="a">'[1]1. Cash Valuation'!$K$33</definedName>
    <definedName name="Agency">'[2]2. Cash Valuation'!$O$72</definedName>
    <definedName name="AP">#REF!</definedName>
    <definedName name="AR">#REF!</definedName>
    <definedName name="Cash_Yield">#REF!</definedName>
    <definedName name="DebtIRR">#REF!</definedName>
    <definedName name="DSCR">#REF!</definedName>
    <definedName name="EnergyCut">#REF!</definedName>
    <definedName name="EnergyCutDebt">#REF!</definedName>
    <definedName name="EquityIRR">#REF!</definedName>
    <definedName name="FCC_Capex">'[2]2. Cash Valuation'!$C$69</definedName>
    <definedName name="FCC_Opex">'[2]2. Cash Valuation'!$C$70</definedName>
    <definedName name="FCC_Production">'[2]2. Cash Valuation'!$C$68</definedName>
    <definedName name="GReg">#REF!</definedName>
    <definedName name="Infl">#REF!</definedName>
    <definedName name="Infl_Costs">'[2]2. Cash Valuation'!$O$77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41421.8905092593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e">#REF!</definedName>
    <definedName name="Legal">#REF!</definedName>
    <definedName name="Leverage">#REF!</definedName>
    <definedName name="MW">#REF!</definedName>
    <definedName name="OverExpCapex">#REF!</definedName>
    <definedName name="OverExpOp">#REF!</definedName>
    <definedName name="OverExpOpDebt">#REF!</definedName>
    <definedName name="Preferred_Dividend">#REF!</definedName>
    <definedName name="Preferred_Interest">#REF!</definedName>
    <definedName name="PVMW">#REF!</definedName>
    <definedName name="Rate">#REF!</definedName>
    <definedName name="Rate2">'[2]2. Cash Valuation'!$N$83</definedName>
    <definedName name="Retribution">'[2]2. Cash Valuation'!$O$73</definedName>
    <definedName name="rrrr">#REF!</definedName>
    <definedName name="Spawer">'[2]2. Cash Valuation'!$C$140</definedName>
    <definedName name="StartingPrice">#REF!</definedName>
    <definedName name="Tax">#REF!</definedName>
    <definedName name="Tenor">#REF!</definedName>
    <definedName name="TV">'[2]2. Cash Valuation'!$G$74</definedName>
    <definedName name="VAT">#REF!</definedName>
    <definedName name="WACC">#REF!</definedName>
    <definedName name="WTG">#REF!</definedName>
  </definedNames>
  <calcPr calcId="15251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3" i="1" l="1"/>
  <c r="O32" i="1"/>
  <c r="D166" i="1"/>
  <c r="D174" i="1"/>
  <c r="I35" i="1"/>
  <c r="E54" i="1"/>
  <c r="I34" i="1"/>
  <c r="E56" i="1"/>
  <c r="E59" i="1"/>
  <c r="E60" i="1"/>
  <c r="E61" i="1"/>
  <c r="E62" i="1"/>
  <c r="E63" i="1"/>
  <c r="E64" i="1"/>
  <c r="E65" i="1"/>
  <c r="E66" i="1"/>
  <c r="E67" i="1"/>
  <c r="E68" i="1"/>
  <c r="E69" i="1"/>
  <c r="E58" i="1"/>
  <c r="E71" i="1"/>
  <c r="E72" i="1"/>
  <c r="E73" i="1"/>
  <c r="E70" i="1"/>
  <c r="E57" i="1"/>
  <c r="E74" i="1"/>
  <c r="E110" i="1"/>
  <c r="E88" i="1"/>
  <c r="E91" i="1"/>
  <c r="E89" i="1"/>
  <c r="E92" i="1"/>
  <c r="E93" i="1"/>
  <c r="C93" i="1"/>
  <c r="E94" i="1"/>
  <c r="E97" i="1"/>
  <c r="E111" i="1"/>
  <c r="E112" i="1"/>
  <c r="M17" i="1"/>
  <c r="E120" i="1"/>
  <c r="E115" i="1"/>
  <c r="E116" i="1"/>
  <c r="E117" i="1"/>
  <c r="E118" i="1"/>
  <c r="E121" i="1"/>
  <c r="E124" i="1"/>
  <c r="E127" i="1"/>
  <c r="E139" i="1"/>
  <c r="E154" i="1"/>
  <c r="E125" i="1"/>
  <c r="E155" i="1"/>
  <c r="E156" i="1"/>
  <c r="E101" i="1"/>
  <c r="E105" i="1"/>
  <c r="E76" i="1"/>
  <c r="E77" i="1"/>
  <c r="E79" i="1"/>
  <c r="E81" i="1"/>
  <c r="E130" i="1"/>
  <c r="E135" i="1"/>
  <c r="E82" i="1"/>
  <c r="E83" i="1"/>
  <c r="E141" i="1"/>
  <c r="E148" i="1"/>
  <c r="E151" i="1"/>
  <c r="E152" i="1"/>
  <c r="E158" i="1"/>
  <c r="E165" i="1"/>
  <c r="E166" i="1"/>
  <c r="E174" i="1"/>
  <c r="E55" i="1"/>
  <c r="F55" i="1"/>
  <c r="F54" i="1"/>
  <c r="F56" i="1"/>
  <c r="F59" i="1"/>
  <c r="F60" i="1"/>
  <c r="F61" i="1"/>
  <c r="F62" i="1"/>
  <c r="F63" i="1"/>
  <c r="F64" i="1"/>
  <c r="F65" i="1"/>
  <c r="F66" i="1"/>
  <c r="F67" i="1"/>
  <c r="F68" i="1"/>
  <c r="F69" i="1"/>
  <c r="F58" i="1"/>
  <c r="F71" i="1"/>
  <c r="F72" i="1"/>
  <c r="F73" i="1"/>
  <c r="F70" i="1"/>
  <c r="F57" i="1"/>
  <c r="F74" i="1"/>
  <c r="F110" i="1"/>
  <c r="F88" i="1"/>
  <c r="F91" i="1"/>
  <c r="F89" i="1"/>
  <c r="F92" i="1"/>
  <c r="F93" i="1"/>
  <c r="F94" i="1"/>
  <c r="F97" i="1"/>
  <c r="F111" i="1"/>
  <c r="F112" i="1"/>
  <c r="E122" i="1"/>
  <c r="F120" i="1"/>
  <c r="F115" i="1"/>
  <c r="F116" i="1"/>
  <c r="F117" i="1"/>
  <c r="F118" i="1"/>
  <c r="F121" i="1"/>
  <c r="F124" i="1"/>
  <c r="F127" i="1"/>
  <c r="F139" i="1"/>
  <c r="F154" i="1"/>
  <c r="F125" i="1"/>
  <c r="F155" i="1"/>
  <c r="F156" i="1"/>
  <c r="F76" i="1"/>
  <c r="F77" i="1"/>
  <c r="F79" i="1"/>
  <c r="F81" i="1"/>
  <c r="F130" i="1"/>
  <c r="F135" i="1"/>
  <c r="F82" i="1"/>
  <c r="F83" i="1"/>
  <c r="F141" i="1"/>
  <c r="E149" i="1"/>
  <c r="F147" i="1"/>
  <c r="F148" i="1"/>
  <c r="F151" i="1"/>
  <c r="F152" i="1"/>
  <c r="F158" i="1"/>
  <c r="F165" i="1"/>
  <c r="F166" i="1"/>
  <c r="F174" i="1"/>
  <c r="G55" i="1"/>
  <c r="G54" i="1"/>
  <c r="G56" i="1"/>
  <c r="G59" i="1"/>
  <c r="G60" i="1"/>
  <c r="G61" i="1"/>
  <c r="G62" i="1"/>
  <c r="G63" i="1"/>
  <c r="G64" i="1"/>
  <c r="G65" i="1"/>
  <c r="G66" i="1"/>
  <c r="G67" i="1"/>
  <c r="G68" i="1"/>
  <c r="G69" i="1"/>
  <c r="G58" i="1"/>
  <c r="G71" i="1"/>
  <c r="G72" i="1"/>
  <c r="G73" i="1"/>
  <c r="G70" i="1"/>
  <c r="G57" i="1"/>
  <c r="G74" i="1"/>
  <c r="G110" i="1"/>
  <c r="G88" i="1"/>
  <c r="G91" i="1"/>
  <c r="G89" i="1"/>
  <c r="G92" i="1"/>
  <c r="G93" i="1"/>
  <c r="G94" i="1"/>
  <c r="G97" i="1"/>
  <c r="G111" i="1"/>
  <c r="G112" i="1"/>
  <c r="F122" i="1"/>
  <c r="G120" i="1"/>
  <c r="G115" i="1"/>
  <c r="G116" i="1"/>
  <c r="G117" i="1"/>
  <c r="G118" i="1"/>
  <c r="G121" i="1"/>
  <c r="G124" i="1"/>
  <c r="G127" i="1"/>
  <c r="G139" i="1"/>
  <c r="G154" i="1"/>
  <c r="G125" i="1"/>
  <c r="G155" i="1"/>
  <c r="G156" i="1"/>
  <c r="G76" i="1"/>
  <c r="G77" i="1"/>
  <c r="G79" i="1"/>
  <c r="G81" i="1"/>
  <c r="G130" i="1"/>
  <c r="G135" i="1"/>
  <c r="G82" i="1"/>
  <c r="G83" i="1"/>
  <c r="G141" i="1"/>
  <c r="F149" i="1"/>
  <c r="G147" i="1"/>
  <c r="G148" i="1"/>
  <c r="G151" i="1"/>
  <c r="G152" i="1"/>
  <c r="G158" i="1"/>
  <c r="G165" i="1"/>
  <c r="G166" i="1"/>
  <c r="G174" i="1"/>
  <c r="H55" i="1"/>
  <c r="H54" i="1"/>
  <c r="H56" i="1"/>
  <c r="H59" i="1"/>
  <c r="H60" i="1"/>
  <c r="H61" i="1"/>
  <c r="H62" i="1"/>
  <c r="H63" i="1"/>
  <c r="H64" i="1"/>
  <c r="H65" i="1"/>
  <c r="H66" i="1"/>
  <c r="H67" i="1"/>
  <c r="H68" i="1"/>
  <c r="H69" i="1"/>
  <c r="H58" i="1"/>
  <c r="H71" i="1"/>
  <c r="H72" i="1"/>
  <c r="H73" i="1"/>
  <c r="H70" i="1"/>
  <c r="H57" i="1"/>
  <c r="H74" i="1"/>
  <c r="H110" i="1"/>
  <c r="H88" i="1"/>
  <c r="H91" i="1"/>
  <c r="H89" i="1"/>
  <c r="H92" i="1"/>
  <c r="H93" i="1"/>
  <c r="H94" i="1"/>
  <c r="H97" i="1"/>
  <c r="H111" i="1"/>
  <c r="H112" i="1"/>
  <c r="G122" i="1"/>
  <c r="H120" i="1"/>
  <c r="H115" i="1"/>
  <c r="H116" i="1"/>
  <c r="H117" i="1"/>
  <c r="H118" i="1"/>
  <c r="H121" i="1"/>
  <c r="H124" i="1"/>
  <c r="H127" i="1"/>
  <c r="H139" i="1"/>
  <c r="H154" i="1"/>
  <c r="H125" i="1"/>
  <c r="H155" i="1"/>
  <c r="H156" i="1"/>
  <c r="H76" i="1"/>
  <c r="H77" i="1"/>
  <c r="H79" i="1"/>
  <c r="H81" i="1"/>
  <c r="H130" i="1"/>
  <c r="H135" i="1"/>
  <c r="H82" i="1"/>
  <c r="H83" i="1"/>
  <c r="H141" i="1"/>
  <c r="G149" i="1"/>
  <c r="H147" i="1"/>
  <c r="H148" i="1"/>
  <c r="H151" i="1"/>
  <c r="H152" i="1"/>
  <c r="H158" i="1"/>
  <c r="H165" i="1"/>
  <c r="H166" i="1"/>
  <c r="H174" i="1"/>
  <c r="I55" i="1"/>
  <c r="I54" i="1"/>
  <c r="I56" i="1"/>
  <c r="I59" i="1"/>
  <c r="I60" i="1"/>
  <c r="I61" i="1"/>
  <c r="I62" i="1"/>
  <c r="I63" i="1"/>
  <c r="I64" i="1"/>
  <c r="I65" i="1"/>
  <c r="I66" i="1"/>
  <c r="I67" i="1"/>
  <c r="I68" i="1"/>
  <c r="I69" i="1"/>
  <c r="I58" i="1"/>
  <c r="I71" i="1"/>
  <c r="I72" i="1"/>
  <c r="I73" i="1"/>
  <c r="I70" i="1"/>
  <c r="I57" i="1"/>
  <c r="I74" i="1"/>
  <c r="I110" i="1"/>
  <c r="I88" i="1"/>
  <c r="I91" i="1"/>
  <c r="I89" i="1"/>
  <c r="I92" i="1"/>
  <c r="I93" i="1"/>
  <c r="I94" i="1"/>
  <c r="I97" i="1"/>
  <c r="I111" i="1"/>
  <c r="I112" i="1"/>
  <c r="H122" i="1"/>
  <c r="I120" i="1"/>
  <c r="I115" i="1"/>
  <c r="I116" i="1"/>
  <c r="I117" i="1"/>
  <c r="I118" i="1"/>
  <c r="I121" i="1"/>
  <c r="I124" i="1"/>
  <c r="I127" i="1"/>
  <c r="I139" i="1"/>
  <c r="I154" i="1"/>
  <c r="I125" i="1"/>
  <c r="I155" i="1"/>
  <c r="I156" i="1"/>
  <c r="I76" i="1"/>
  <c r="I77" i="1"/>
  <c r="I79" i="1"/>
  <c r="I81" i="1"/>
  <c r="I130" i="1"/>
  <c r="I135" i="1"/>
  <c r="I82" i="1"/>
  <c r="I83" i="1"/>
  <c r="I141" i="1"/>
  <c r="H149" i="1"/>
  <c r="I20" i="1"/>
  <c r="I147" i="1"/>
  <c r="I148" i="1"/>
  <c r="I151" i="1"/>
  <c r="I152" i="1"/>
  <c r="I158" i="1"/>
  <c r="I165" i="1"/>
  <c r="I166" i="1"/>
  <c r="I174" i="1"/>
  <c r="J55" i="1"/>
  <c r="J54" i="1"/>
  <c r="J56" i="1"/>
  <c r="J59" i="1"/>
  <c r="J60" i="1"/>
  <c r="J61" i="1"/>
  <c r="J62" i="1"/>
  <c r="J63" i="1"/>
  <c r="J64" i="1"/>
  <c r="J65" i="1"/>
  <c r="J66" i="1"/>
  <c r="J67" i="1"/>
  <c r="J68" i="1"/>
  <c r="J69" i="1"/>
  <c r="J58" i="1"/>
  <c r="J71" i="1"/>
  <c r="J72" i="1"/>
  <c r="J73" i="1"/>
  <c r="J70" i="1"/>
  <c r="J57" i="1"/>
  <c r="J74" i="1"/>
  <c r="J110" i="1"/>
  <c r="J88" i="1"/>
  <c r="J91" i="1"/>
  <c r="J89" i="1"/>
  <c r="J92" i="1"/>
  <c r="J93" i="1"/>
  <c r="J94" i="1"/>
  <c r="J97" i="1"/>
  <c r="J111" i="1"/>
  <c r="J112" i="1"/>
  <c r="I122" i="1"/>
  <c r="J120" i="1"/>
  <c r="J115" i="1"/>
  <c r="J116" i="1"/>
  <c r="J117" i="1"/>
  <c r="J118" i="1"/>
  <c r="J121" i="1"/>
  <c r="J124" i="1"/>
  <c r="J127" i="1"/>
  <c r="J139" i="1"/>
  <c r="J154" i="1"/>
  <c r="J125" i="1"/>
  <c r="J155" i="1"/>
  <c r="J156" i="1"/>
  <c r="J76" i="1"/>
  <c r="J77" i="1"/>
  <c r="J79" i="1"/>
  <c r="J81" i="1"/>
  <c r="J130" i="1"/>
  <c r="J135" i="1"/>
  <c r="J82" i="1"/>
  <c r="J83" i="1"/>
  <c r="J141" i="1"/>
  <c r="I149" i="1"/>
  <c r="J147" i="1"/>
  <c r="J148" i="1"/>
  <c r="J151" i="1"/>
  <c r="J152" i="1"/>
  <c r="J158" i="1"/>
  <c r="J165" i="1"/>
  <c r="J166" i="1"/>
  <c r="J174" i="1"/>
  <c r="K55" i="1"/>
  <c r="K54" i="1"/>
  <c r="K56" i="1"/>
  <c r="K59" i="1"/>
  <c r="K60" i="1"/>
  <c r="K61" i="1"/>
  <c r="K62" i="1"/>
  <c r="K63" i="1"/>
  <c r="K64" i="1"/>
  <c r="K65" i="1"/>
  <c r="K66" i="1"/>
  <c r="K67" i="1"/>
  <c r="K68" i="1"/>
  <c r="K69" i="1"/>
  <c r="K58" i="1"/>
  <c r="K71" i="1"/>
  <c r="K72" i="1"/>
  <c r="K73" i="1"/>
  <c r="K70" i="1"/>
  <c r="K57" i="1"/>
  <c r="K74" i="1"/>
  <c r="K110" i="1"/>
  <c r="K88" i="1"/>
  <c r="K91" i="1"/>
  <c r="K89" i="1"/>
  <c r="K92" i="1"/>
  <c r="K93" i="1"/>
  <c r="K94" i="1"/>
  <c r="K97" i="1"/>
  <c r="K111" i="1"/>
  <c r="K112" i="1"/>
  <c r="J122" i="1"/>
  <c r="K120" i="1"/>
  <c r="K115" i="1"/>
  <c r="K116" i="1"/>
  <c r="K117" i="1"/>
  <c r="K118" i="1"/>
  <c r="K121" i="1"/>
  <c r="K124" i="1"/>
  <c r="K127" i="1"/>
  <c r="K139" i="1"/>
  <c r="K154" i="1"/>
  <c r="K125" i="1"/>
  <c r="K155" i="1"/>
  <c r="K156" i="1"/>
  <c r="K76" i="1"/>
  <c r="K77" i="1"/>
  <c r="K79" i="1"/>
  <c r="K81" i="1"/>
  <c r="K130" i="1"/>
  <c r="K135" i="1"/>
  <c r="K82" i="1"/>
  <c r="K83" i="1"/>
  <c r="K141" i="1"/>
  <c r="J149" i="1"/>
  <c r="K147" i="1"/>
  <c r="K148" i="1"/>
  <c r="K151" i="1"/>
  <c r="K152" i="1"/>
  <c r="K158" i="1"/>
  <c r="K165" i="1"/>
  <c r="K166" i="1"/>
  <c r="K174" i="1"/>
  <c r="L55" i="1"/>
  <c r="L54" i="1"/>
  <c r="L56" i="1"/>
  <c r="L59" i="1"/>
  <c r="L60" i="1"/>
  <c r="L61" i="1"/>
  <c r="L62" i="1"/>
  <c r="L63" i="1"/>
  <c r="L64" i="1"/>
  <c r="L65" i="1"/>
  <c r="L66" i="1"/>
  <c r="L67" i="1"/>
  <c r="L68" i="1"/>
  <c r="L69" i="1"/>
  <c r="L58" i="1"/>
  <c r="L71" i="1"/>
  <c r="L72" i="1"/>
  <c r="L73" i="1"/>
  <c r="L70" i="1"/>
  <c r="L57" i="1"/>
  <c r="L74" i="1"/>
  <c r="L110" i="1"/>
  <c r="L88" i="1"/>
  <c r="L91" i="1"/>
  <c r="L89" i="1"/>
  <c r="L92" i="1"/>
  <c r="L93" i="1"/>
  <c r="L94" i="1"/>
  <c r="L97" i="1"/>
  <c r="L111" i="1"/>
  <c r="L112" i="1"/>
  <c r="K122" i="1"/>
  <c r="L120" i="1"/>
  <c r="L115" i="1"/>
  <c r="L116" i="1"/>
  <c r="L117" i="1"/>
  <c r="L118" i="1"/>
  <c r="L121" i="1"/>
  <c r="L124" i="1"/>
  <c r="L127" i="1"/>
  <c r="L139" i="1"/>
  <c r="L154" i="1"/>
  <c r="L125" i="1"/>
  <c r="L155" i="1"/>
  <c r="L156" i="1"/>
  <c r="L76" i="1"/>
  <c r="L77" i="1"/>
  <c r="L79" i="1"/>
  <c r="L81" i="1"/>
  <c r="L130" i="1"/>
  <c r="L135" i="1"/>
  <c r="L82" i="1"/>
  <c r="L83" i="1"/>
  <c r="L141" i="1"/>
  <c r="K149" i="1"/>
  <c r="L147" i="1"/>
  <c r="L148" i="1"/>
  <c r="L151" i="1"/>
  <c r="L152" i="1"/>
  <c r="L158" i="1"/>
  <c r="L165" i="1"/>
  <c r="L166" i="1"/>
  <c r="L174" i="1"/>
  <c r="M55" i="1"/>
  <c r="M54" i="1"/>
  <c r="M56" i="1"/>
  <c r="M59" i="1"/>
  <c r="M60" i="1"/>
  <c r="M61" i="1"/>
  <c r="M62" i="1"/>
  <c r="M63" i="1"/>
  <c r="M64" i="1"/>
  <c r="M65" i="1"/>
  <c r="M66" i="1"/>
  <c r="M67" i="1"/>
  <c r="M68" i="1"/>
  <c r="M69" i="1"/>
  <c r="M58" i="1"/>
  <c r="M71" i="1"/>
  <c r="M72" i="1"/>
  <c r="M73" i="1"/>
  <c r="M70" i="1"/>
  <c r="M57" i="1"/>
  <c r="M74" i="1"/>
  <c r="M110" i="1"/>
  <c r="M88" i="1"/>
  <c r="M91" i="1"/>
  <c r="M89" i="1"/>
  <c r="M92" i="1"/>
  <c r="M93" i="1"/>
  <c r="M94" i="1"/>
  <c r="M97" i="1"/>
  <c r="M111" i="1"/>
  <c r="M112" i="1"/>
  <c r="L122" i="1"/>
  <c r="M120" i="1"/>
  <c r="M115" i="1"/>
  <c r="M116" i="1"/>
  <c r="M117" i="1"/>
  <c r="M118" i="1"/>
  <c r="M121" i="1"/>
  <c r="M124" i="1"/>
  <c r="M127" i="1"/>
  <c r="M139" i="1"/>
  <c r="M154" i="1"/>
  <c r="M125" i="1"/>
  <c r="M155" i="1"/>
  <c r="M156" i="1"/>
  <c r="M76" i="1"/>
  <c r="M77" i="1"/>
  <c r="M79" i="1"/>
  <c r="M81" i="1"/>
  <c r="M130" i="1"/>
  <c r="M135" i="1"/>
  <c r="M82" i="1"/>
  <c r="M83" i="1"/>
  <c r="M141" i="1"/>
  <c r="L149" i="1"/>
  <c r="M147" i="1"/>
  <c r="M148" i="1"/>
  <c r="M151" i="1"/>
  <c r="M152" i="1"/>
  <c r="M158" i="1"/>
  <c r="M165" i="1"/>
  <c r="M166" i="1"/>
  <c r="M174" i="1"/>
  <c r="N55" i="1"/>
  <c r="N54" i="1"/>
  <c r="N56" i="1"/>
  <c r="N59" i="1"/>
  <c r="N60" i="1"/>
  <c r="N61" i="1"/>
  <c r="N62" i="1"/>
  <c r="N63" i="1"/>
  <c r="N64" i="1"/>
  <c r="N65" i="1"/>
  <c r="N66" i="1"/>
  <c r="N67" i="1"/>
  <c r="N68" i="1"/>
  <c r="N69" i="1"/>
  <c r="N58" i="1"/>
  <c r="N71" i="1"/>
  <c r="N72" i="1"/>
  <c r="N73" i="1"/>
  <c r="N70" i="1"/>
  <c r="N57" i="1"/>
  <c r="N74" i="1"/>
  <c r="N110" i="1"/>
  <c r="N88" i="1"/>
  <c r="N91" i="1"/>
  <c r="N89" i="1"/>
  <c r="N92" i="1"/>
  <c r="N93" i="1"/>
  <c r="N94" i="1"/>
  <c r="N97" i="1"/>
  <c r="N111" i="1"/>
  <c r="N112" i="1"/>
  <c r="M122" i="1"/>
  <c r="N120" i="1"/>
  <c r="N115" i="1"/>
  <c r="N116" i="1"/>
  <c r="N117" i="1"/>
  <c r="N118" i="1"/>
  <c r="N121" i="1"/>
  <c r="N124" i="1"/>
  <c r="N127" i="1"/>
  <c r="N139" i="1"/>
  <c r="N154" i="1"/>
  <c r="N125" i="1"/>
  <c r="N155" i="1"/>
  <c r="N156" i="1"/>
  <c r="N76" i="1"/>
  <c r="N77" i="1"/>
  <c r="N79" i="1"/>
  <c r="N81" i="1"/>
  <c r="N130" i="1"/>
  <c r="N135" i="1"/>
  <c r="N82" i="1"/>
  <c r="N83" i="1"/>
  <c r="N141" i="1"/>
  <c r="M149" i="1"/>
  <c r="N147" i="1"/>
  <c r="N148" i="1"/>
  <c r="N151" i="1"/>
  <c r="N152" i="1"/>
  <c r="N158" i="1"/>
  <c r="N165" i="1"/>
  <c r="N166" i="1"/>
  <c r="N174" i="1"/>
  <c r="O55" i="1"/>
  <c r="O54" i="1"/>
  <c r="O56" i="1"/>
  <c r="O59" i="1"/>
  <c r="O60" i="1"/>
  <c r="O61" i="1"/>
  <c r="O62" i="1"/>
  <c r="O63" i="1"/>
  <c r="O64" i="1"/>
  <c r="O65" i="1"/>
  <c r="O66" i="1"/>
  <c r="O67" i="1"/>
  <c r="O68" i="1"/>
  <c r="O69" i="1"/>
  <c r="O58" i="1"/>
  <c r="O71" i="1"/>
  <c r="O72" i="1"/>
  <c r="O73" i="1"/>
  <c r="O70" i="1"/>
  <c r="O57" i="1"/>
  <c r="O74" i="1"/>
  <c r="O110" i="1"/>
  <c r="O88" i="1"/>
  <c r="O91" i="1"/>
  <c r="O89" i="1"/>
  <c r="O92" i="1"/>
  <c r="O93" i="1"/>
  <c r="O94" i="1"/>
  <c r="O97" i="1"/>
  <c r="O111" i="1"/>
  <c r="O112" i="1"/>
  <c r="N122" i="1"/>
  <c r="O120" i="1"/>
  <c r="O115" i="1"/>
  <c r="O116" i="1"/>
  <c r="O117" i="1"/>
  <c r="O118" i="1"/>
  <c r="O121" i="1"/>
  <c r="O124" i="1"/>
  <c r="O127" i="1"/>
  <c r="O139" i="1"/>
  <c r="O154" i="1"/>
  <c r="O125" i="1"/>
  <c r="O155" i="1"/>
  <c r="O156" i="1"/>
  <c r="O76" i="1"/>
  <c r="O77" i="1"/>
  <c r="O79" i="1"/>
  <c r="O81" i="1"/>
  <c r="O130" i="1"/>
  <c r="O135" i="1"/>
  <c r="O82" i="1"/>
  <c r="O83" i="1"/>
  <c r="O141" i="1"/>
  <c r="N149" i="1"/>
  <c r="O147" i="1"/>
  <c r="O148" i="1"/>
  <c r="O151" i="1"/>
  <c r="O152" i="1"/>
  <c r="O158" i="1"/>
  <c r="O165" i="1"/>
  <c r="O166" i="1"/>
  <c r="O174" i="1"/>
  <c r="P55" i="1"/>
  <c r="P54" i="1"/>
  <c r="P56" i="1"/>
  <c r="P59" i="1"/>
  <c r="P60" i="1"/>
  <c r="P61" i="1"/>
  <c r="P62" i="1"/>
  <c r="P63" i="1"/>
  <c r="P64" i="1"/>
  <c r="P65" i="1"/>
  <c r="P66" i="1"/>
  <c r="P67" i="1"/>
  <c r="P68" i="1"/>
  <c r="P69" i="1"/>
  <c r="P58" i="1"/>
  <c r="P71" i="1"/>
  <c r="P72" i="1"/>
  <c r="P73" i="1"/>
  <c r="P70" i="1"/>
  <c r="P57" i="1"/>
  <c r="P74" i="1"/>
  <c r="P110" i="1"/>
  <c r="P88" i="1"/>
  <c r="P91" i="1"/>
  <c r="P89" i="1"/>
  <c r="P92" i="1"/>
  <c r="P93" i="1"/>
  <c r="P94" i="1"/>
  <c r="P97" i="1"/>
  <c r="P111" i="1"/>
  <c r="P112" i="1"/>
  <c r="O122" i="1"/>
  <c r="P120" i="1"/>
  <c r="P115" i="1"/>
  <c r="P116" i="1"/>
  <c r="P117" i="1"/>
  <c r="P118" i="1"/>
  <c r="P121" i="1"/>
  <c r="P124" i="1"/>
  <c r="P127" i="1"/>
  <c r="P139" i="1"/>
  <c r="P154" i="1"/>
  <c r="P125" i="1"/>
  <c r="P155" i="1"/>
  <c r="P156" i="1"/>
  <c r="P76" i="1"/>
  <c r="P77" i="1"/>
  <c r="P79" i="1"/>
  <c r="P81" i="1"/>
  <c r="P130" i="1"/>
  <c r="P135" i="1"/>
  <c r="P82" i="1"/>
  <c r="P83" i="1"/>
  <c r="P141" i="1"/>
  <c r="O149" i="1"/>
  <c r="P147" i="1"/>
  <c r="P148" i="1"/>
  <c r="P151" i="1"/>
  <c r="P152" i="1"/>
  <c r="P158" i="1"/>
  <c r="P165" i="1"/>
  <c r="P166" i="1"/>
  <c r="P174" i="1"/>
  <c r="Q55" i="1"/>
  <c r="Q54" i="1"/>
  <c r="Q56" i="1"/>
  <c r="Q59" i="1"/>
  <c r="Q60" i="1"/>
  <c r="Q61" i="1"/>
  <c r="Q62" i="1"/>
  <c r="Q63" i="1"/>
  <c r="Q64" i="1"/>
  <c r="Q65" i="1"/>
  <c r="Q66" i="1"/>
  <c r="Q67" i="1"/>
  <c r="Q68" i="1"/>
  <c r="Q69" i="1"/>
  <c r="Q58" i="1"/>
  <c r="Q71" i="1"/>
  <c r="Q72" i="1"/>
  <c r="Q73" i="1"/>
  <c r="Q70" i="1"/>
  <c r="Q57" i="1"/>
  <c r="Q74" i="1"/>
  <c r="Q110" i="1"/>
  <c r="Q88" i="1"/>
  <c r="Q91" i="1"/>
  <c r="Q89" i="1"/>
  <c r="Q92" i="1"/>
  <c r="Q93" i="1"/>
  <c r="Q94" i="1"/>
  <c r="Q97" i="1"/>
  <c r="Q111" i="1"/>
  <c r="Q112" i="1"/>
  <c r="P122" i="1"/>
  <c r="Q120" i="1"/>
  <c r="Q115" i="1"/>
  <c r="Q116" i="1"/>
  <c r="Q117" i="1"/>
  <c r="Q118" i="1"/>
  <c r="Q121" i="1"/>
  <c r="Q124" i="1"/>
  <c r="Q127" i="1"/>
  <c r="Q139" i="1"/>
  <c r="Q154" i="1"/>
  <c r="Q125" i="1"/>
  <c r="Q155" i="1"/>
  <c r="Q156" i="1"/>
  <c r="Q76" i="1"/>
  <c r="Q77" i="1"/>
  <c r="Q79" i="1"/>
  <c r="Q81" i="1"/>
  <c r="Q130" i="1"/>
  <c r="Q135" i="1"/>
  <c r="Q82" i="1"/>
  <c r="Q83" i="1"/>
  <c r="Q141" i="1"/>
  <c r="P149" i="1"/>
  <c r="Q147" i="1"/>
  <c r="Q148" i="1"/>
  <c r="Q151" i="1"/>
  <c r="Q152" i="1"/>
  <c r="Q158" i="1"/>
  <c r="Q165" i="1"/>
  <c r="Q166" i="1"/>
  <c r="Q174" i="1"/>
  <c r="R55" i="1"/>
  <c r="R54" i="1"/>
  <c r="R56" i="1"/>
  <c r="R59" i="1"/>
  <c r="R60" i="1"/>
  <c r="R61" i="1"/>
  <c r="R62" i="1"/>
  <c r="R63" i="1"/>
  <c r="R64" i="1"/>
  <c r="R65" i="1"/>
  <c r="R66" i="1"/>
  <c r="R67" i="1"/>
  <c r="R68" i="1"/>
  <c r="R69" i="1"/>
  <c r="R58" i="1"/>
  <c r="R71" i="1"/>
  <c r="R72" i="1"/>
  <c r="R73" i="1"/>
  <c r="R70" i="1"/>
  <c r="R57" i="1"/>
  <c r="R74" i="1"/>
  <c r="R110" i="1"/>
  <c r="R88" i="1"/>
  <c r="R91" i="1"/>
  <c r="R89" i="1"/>
  <c r="R92" i="1"/>
  <c r="R93" i="1"/>
  <c r="R94" i="1"/>
  <c r="R97" i="1"/>
  <c r="R111" i="1"/>
  <c r="R112" i="1"/>
  <c r="Q122" i="1"/>
  <c r="R120" i="1"/>
  <c r="R115" i="1"/>
  <c r="R116" i="1"/>
  <c r="R117" i="1"/>
  <c r="R118" i="1"/>
  <c r="R121" i="1"/>
  <c r="R124" i="1"/>
  <c r="R127" i="1"/>
  <c r="R139" i="1"/>
  <c r="R154" i="1"/>
  <c r="R125" i="1"/>
  <c r="R155" i="1"/>
  <c r="R156" i="1"/>
  <c r="R76" i="1"/>
  <c r="R77" i="1"/>
  <c r="R79" i="1"/>
  <c r="R81" i="1"/>
  <c r="R130" i="1"/>
  <c r="R135" i="1"/>
  <c r="R82" i="1"/>
  <c r="R83" i="1"/>
  <c r="R141" i="1"/>
  <c r="Q149" i="1"/>
  <c r="R147" i="1"/>
  <c r="R148" i="1"/>
  <c r="R151" i="1"/>
  <c r="R152" i="1"/>
  <c r="R158" i="1"/>
  <c r="R165" i="1"/>
  <c r="R166" i="1"/>
  <c r="R174" i="1"/>
  <c r="S55" i="1"/>
  <c r="S54" i="1"/>
  <c r="S56" i="1"/>
  <c r="S59" i="1"/>
  <c r="S60" i="1"/>
  <c r="S61" i="1"/>
  <c r="S62" i="1"/>
  <c r="S63" i="1"/>
  <c r="S64" i="1"/>
  <c r="S65" i="1"/>
  <c r="S66" i="1"/>
  <c r="S67" i="1"/>
  <c r="S68" i="1"/>
  <c r="S69" i="1"/>
  <c r="S58" i="1"/>
  <c r="S71" i="1"/>
  <c r="S72" i="1"/>
  <c r="S73" i="1"/>
  <c r="S70" i="1"/>
  <c r="S57" i="1"/>
  <c r="S74" i="1"/>
  <c r="S110" i="1"/>
  <c r="S88" i="1"/>
  <c r="S91" i="1"/>
  <c r="S89" i="1"/>
  <c r="S92" i="1"/>
  <c r="S93" i="1"/>
  <c r="S94" i="1"/>
  <c r="S97" i="1"/>
  <c r="S111" i="1"/>
  <c r="S112" i="1"/>
  <c r="R122" i="1"/>
  <c r="S120" i="1"/>
  <c r="S115" i="1"/>
  <c r="S116" i="1"/>
  <c r="S117" i="1"/>
  <c r="S118" i="1"/>
  <c r="S121" i="1"/>
  <c r="S124" i="1"/>
  <c r="S127" i="1"/>
  <c r="S139" i="1"/>
  <c r="S154" i="1"/>
  <c r="S125" i="1"/>
  <c r="S155" i="1"/>
  <c r="S156" i="1"/>
  <c r="S76" i="1"/>
  <c r="S77" i="1"/>
  <c r="S79" i="1"/>
  <c r="S81" i="1"/>
  <c r="S130" i="1"/>
  <c r="S135" i="1"/>
  <c r="S82" i="1"/>
  <c r="S83" i="1"/>
  <c r="S141" i="1"/>
  <c r="R149" i="1"/>
  <c r="S147" i="1"/>
  <c r="S148" i="1"/>
  <c r="S151" i="1"/>
  <c r="S152" i="1"/>
  <c r="S158" i="1"/>
  <c r="S165" i="1"/>
  <c r="S166" i="1"/>
  <c r="S174" i="1"/>
  <c r="T55" i="1"/>
  <c r="T54" i="1"/>
  <c r="T56" i="1"/>
  <c r="T59" i="1"/>
  <c r="T60" i="1"/>
  <c r="T61" i="1"/>
  <c r="T62" i="1"/>
  <c r="T63" i="1"/>
  <c r="T64" i="1"/>
  <c r="T65" i="1"/>
  <c r="T66" i="1"/>
  <c r="T67" i="1"/>
  <c r="T68" i="1"/>
  <c r="T69" i="1"/>
  <c r="T58" i="1"/>
  <c r="T71" i="1"/>
  <c r="T72" i="1"/>
  <c r="T73" i="1"/>
  <c r="T70" i="1"/>
  <c r="T57" i="1"/>
  <c r="T74" i="1"/>
  <c r="T110" i="1"/>
  <c r="T88" i="1"/>
  <c r="T91" i="1"/>
  <c r="T89" i="1"/>
  <c r="T92" i="1"/>
  <c r="T93" i="1"/>
  <c r="T94" i="1"/>
  <c r="T97" i="1"/>
  <c r="T111" i="1"/>
  <c r="T112" i="1"/>
  <c r="S122" i="1"/>
  <c r="T120" i="1"/>
  <c r="T115" i="1"/>
  <c r="T116" i="1"/>
  <c r="T117" i="1"/>
  <c r="T118" i="1"/>
  <c r="T121" i="1"/>
  <c r="T124" i="1"/>
  <c r="T127" i="1"/>
  <c r="T139" i="1"/>
  <c r="T154" i="1"/>
  <c r="T125" i="1"/>
  <c r="T155" i="1"/>
  <c r="T156" i="1"/>
  <c r="T76" i="1"/>
  <c r="T77" i="1"/>
  <c r="T79" i="1"/>
  <c r="T81" i="1"/>
  <c r="T130" i="1"/>
  <c r="T135" i="1"/>
  <c r="T82" i="1"/>
  <c r="T83" i="1"/>
  <c r="T141" i="1"/>
  <c r="S149" i="1"/>
  <c r="T147" i="1"/>
  <c r="T148" i="1"/>
  <c r="T151" i="1"/>
  <c r="T152" i="1"/>
  <c r="T158" i="1"/>
  <c r="T165" i="1"/>
  <c r="T166" i="1"/>
  <c r="T174" i="1"/>
  <c r="U55" i="1"/>
  <c r="U54" i="1"/>
  <c r="U56" i="1"/>
  <c r="U59" i="1"/>
  <c r="U60" i="1"/>
  <c r="U61" i="1"/>
  <c r="U62" i="1"/>
  <c r="U63" i="1"/>
  <c r="U64" i="1"/>
  <c r="U65" i="1"/>
  <c r="U66" i="1"/>
  <c r="U67" i="1"/>
  <c r="U68" i="1"/>
  <c r="U69" i="1"/>
  <c r="U58" i="1"/>
  <c r="U71" i="1"/>
  <c r="U72" i="1"/>
  <c r="U73" i="1"/>
  <c r="U70" i="1"/>
  <c r="U57" i="1"/>
  <c r="U74" i="1"/>
  <c r="U110" i="1"/>
  <c r="U88" i="1"/>
  <c r="U91" i="1"/>
  <c r="U89" i="1"/>
  <c r="U92" i="1"/>
  <c r="U93" i="1"/>
  <c r="U94" i="1"/>
  <c r="U97" i="1"/>
  <c r="U111" i="1"/>
  <c r="U112" i="1"/>
  <c r="T122" i="1"/>
  <c r="U120" i="1"/>
  <c r="U115" i="1"/>
  <c r="U116" i="1"/>
  <c r="U117" i="1"/>
  <c r="U118" i="1"/>
  <c r="U121" i="1"/>
  <c r="U124" i="1"/>
  <c r="U127" i="1"/>
  <c r="U139" i="1"/>
  <c r="U154" i="1"/>
  <c r="U125" i="1"/>
  <c r="U155" i="1"/>
  <c r="U156" i="1"/>
  <c r="U76" i="1"/>
  <c r="U77" i="1"/>
  <c r="U79" i="1"/>
  <c r="U81" i="1"/>
  <c r="U130" i="1"/>
  <c r="U135" i="1"/>
  <c r="U82" i="1"/>
  <c r="U83" i="1"/>
  <c r="U141" i="1"/>
  <c r="T149" i="1"/>
  <c r="U147" i="1"/>
  <c r="U148" i="1"/>
  <c r="U151" i="1"/>
  <c r="U152" i="1"/>
  <c r="U158" i="1"/>
  <c r="U165" i="1"/>
  <c r="U166" i="1"/>
  <c r="U174" i="1"/>
  <c r="V55" i="1"/>
  <c r="V54" i="1"/>
  <c r="V56" i="1"/>
  <c r="V59" i="1"/>
  <c r="V60" i="1"/>
  <c r="V61" i="1"/>
  <c r="V62" i="1"/>
  <c r="V63" i="1"/>
  <c r="V64" i="1"/>
  <c r="V65" i="1"/>
  <c r="V66" i="1"/>
  <c r="V67" i="1"/>
  <c r="V68" i="1"/>
  <c r="V69" i="1"/>
  <c r="V58" i="1"/>
  <c r="V71" i="1"/>
  <c r="V72" i="1"/>
  <c r="V73" i="1"/>
  <c r="V70" i="1"/>
  <c r="V57" i="1"/>
  <c r="V74" i="1"/>
  <c r="V110" i="1"/>
  <c r="V88" i="1"/>
  <c r="V91" i="1"/>
  <c r="V89" i="1"/>
  <c r="V92" i="1"/>
  <c r="V93" i="1"/>
  <c r="V94" i="1"/>
  <c r="V97" i="1"/>
  <c r="V111" i="1"/>
  <c r="V112" i="1"/>
  <c r="U122" i="1"/>
  <c r="V120" i="1"/>
  <c r="V115" i="1"/>
  <c r="V116" i="1"/>
  <c r="V117" i="1"/>
  <c r="V118" i="1"/>
  <c r="V121" i="1"/>
  <c r="V124" i="1"/>
  <c r="V127" i="1"/>
  <c r="V139" i="1"/>
  <c r="V154" i="1"/>
  <c r="V125" i="1"/>
  <c r="V155" i="1"/>
  <c r="V156" i="1"/>
  <c r="V76" i="1"/>
  <c r="V77" i="1"/>
  <c r="V79" i="1"/>
  <c r="V81" i="1"/>
  <c r="V130" i="1"/>
  <c r="V135" i="1"/>
  <c r="V82" i="1"/>
  <c r="V83" i="1"/>
  <c r="V141" i="1"/>
  <c r="U149" i="1"/>
  <c r="V147" i="1"/>
  <c r="V148" i="1"/>
  <c r="V151" i="1"/>
  <c r="V152" i="1"/>
  <c r="V158" i="1"/>
  <c r="V165" i="1"/>
  <c r="V166" i="1"/>
  <c r="V174" i="1"/>
  <c r="W55" i="1"/>
  <c r="W54" i="1"/>
  <c r="W56" i="1"/>
  <c r="W59" i="1"/>
  <c r="W60" i="1"/>
  <c r="W61" i="1"/>
  <c r="W62" i="1"/>
  <c r="W63" i="1"/>
  <c r="W64" i="1"/>
  <c r="W65" i="1"/>
  <c r="W66" i="1"/>
  <c r="W67" i="1"/>
  <c r="W68" i="1"/>
  <c r="W69" i="1"/>
  <c r="W58" i="1"/>
  <c r="W71" i="1"/>
  <c r="W72" i="1"/>
  <c r="W73" i="1"/>
  <c r="W70" i="1"/>
  <c r="W57" i="1"/>
  <c r="W74" i="1"/>
  <c r="W110" i="1"/>
  <c r="W88" i="1"/>
  <c r="W91" i="1"/>
  <c r="W89" i="1"/>
  <c r="W92" i="1"/>
  <c r="W93" i="1"/>
  <c r="W94" i="1"/>
  <c r="W97" i="1"/>
  <c r="W111" i="1"/>
  <c r="W112" i="1"/>
  <c r="V122" i="1"/>
  <c r="W120" i="1"/>
  <c r="W115" i="1"/>
  <c r="W116" i="1"/>
  <c r="W117" i="1"/>
  <c r="W118" i="1"/>
  <c r="W121" i="1"/>
  <c r="W124" i="1"/>
  <c r="W127" i="1"/>
  <c r="W139" i="1"/>
  <c r="W154" i="1"/>
  <c r="W125" i="1"/>
  <c r="W155" i="1"/>
  <c r="W156" i="1"/>
  <c r="W76" i="1"/>
  <c r="W77" i="1"/>
  <c r="W79" i="1"/>
  <c r="W81" i="1"/>
  <c r="W130" i="1"/>
  <c r="W135" i="1"/>
  <c r="W82" i="1"/>
  <c r="W83" i="1"/>
  <c r="W141" i="1"/>
  <c r="V149" i="1"/>
  <c r="W147" i="1"/>
  <c r="W148" i="1"/>
  <c r="W151" i="1"/>
  <c r="W152" i="1"/>
  <c r="W158" i="1"/>
  <c r="W165" i="1"/>
  <c r="W166" i="1"/>
  <c r="W174" i="1"/>
  <c r="X55" i="1"/>
  <c r="X54" i="1"/>
  <c r="X56" i="1"/>
  <c r="X59" i="1"/>
  <c r="X60" i="1"/>
  <c r="X61" i="1"/>
  <c r="X62" i="1"/>
  <c r="X63" i="1"/>
  <c r="X64" i="1"/>
  <c r="X65" i="1"/>
  <c r="X66" i="1"/>
  <c r="X67" i="1"/>
  <c r="X68" i="1"/>
  <c r="X69" i="1"/>
  <c r="X58" i="1"/>
  <c r="X71" i="1"/>
  <c r="X72" i="1"/>
  <c r="X73" i="1"/>
  <c r="X70" i="1"/>
  <c r="X57" i="1"/>
  <c r="X74" i="1"/>
  <c r="X110" i="1"/>
  <c r="X88" i="1"/>
  <c r="X91" i="1"/>
  <c r="X89" i="1"/>
  <c r="X92" i="1"/>
  <c r="X93" i="1"/>
  <c r="X94" i="1"/>
  <c r="X97" i="1"/>
  <c r="X111" i="1"/>
  <c r="X112" i="1"/>
  <c r="W122" i="1"/>
  <c r="X120" i="1"/>
  <c r="X115" i="1"/>
  <c r="X116" i="1"/>
  <c r="X117" i="1"/>
  <c r="X118" i="1"/>
  <c r="X121" i="1"/>
  <c r="X124" i="1"/>
  <c r="X127" i="1"/>
  <c r="X139" i="1"/>
  <c r="X154" i="1"/>
  <c r="X125" i="1"/>
  <c r="X155" i="1"/>
  <c r="X156" i="1"/>
  <c r="X76" i="1"/>
  <c r="X77" i="1"/>
  <c r="X79" i="1"/>
  <c r="X81" i="1"/>
  <c r="X130" i="1"/>
  <c r="X135" i="1"/>
  <c r="X82" i="1"/>
  <c r="X83" i="1"/>
  <c r="X141" i="1"/>
  <c r="W149" i="1"/>
  <c r="X147" i="1"/>
  <c r="X148" i="1"/>
  <c r="X151" i="1"/>
  <c r="X152" i="1"/>
  <c r="X158" i="1"/>
  <c r="X165" i="1"/>
  <c r="X166" i="1"/>
  <c r="E175" i="1"/>
  <c r="E176" i="1"/>
  <c r="X174" i="1"/>
  <c r="B184" i="1"/>
  <c r="D182" i="1"/>
  <c r="B181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8" i="1"/>
  <c r="X86" i="1"/>
  <c r="X99" i="1"/>
  <c r="X108" i="1"/>
  <c r="X137" i="1"/>
  <c r="X163" i="1"/>
  <c r="X168" i="1"/>
  <c r="W86" i="1"/>
  <c r="W99" i="1"/>
  <c r="W108" i="1"/>
  <c r="W137" i="1"/>
  <c r="W163" i="1"/>
  <c r="W168" i="1"/>
  <c r="V86" i="1"/>
  <c r="V99" i="1"/>
  <c r="V108" i="1"/>
  <c r="V137" i="1"/>
  <c r="V163" i="1"/>
  <c r="V168" i="1"/>
  <c r="U86" i="1"/>
  <c r="U99" i="1"/>
  <c r="U108" i="1"/>
  <c r="U137" i="1"/>
  <c r="U163" i="1"/>
  <c r="U168" i="1"/>
  <c r="T86" i="1"/>
  <c r="T99" i="1"/>
  <c r="T108" i="1"/>
  <c r="T137" i="1"/>
  <c r="T163" i="1"/>
  <c r="T168" i="1"/>
  <c r="S86" i="1"/>
  <c r="S99" i="1"/>
  <c r="S108" i="1"/>
  <c r="S137" i="1"/>
  <c r="S163" i="1"/>
  <c r="S168" i="1"/>
  <c r="R86" i="1"/>
  <c r="R99" i="1"/>
  <c r="R108" i="1"/>
  <c r="R137" i="1"/>
  <c r="R163" i="1"/>
  <c r="R168" i="1"/>
  <c r="Q86" i="1"/>
  <c r="Q99" i="1"/>
  <c r="Q108" i="1"/>
  <c r="Q137" i="1"/>
  <c r="Q163" i="1"/>
  <c r="Q168" i="1"/>
  <c r="P86" i="1"/>
  <c r="P99" i="1"/>
  <c r="P108" i="1"/>
  <c r="P137" i="1"/>
  <c r="P163" i="1"/>
  <c r="P168" i="1"/>
  <c r="O86" i="1"/>
  <c r="O99" i="1"/>
  <c r="O108" i="1"/>
  <c r="O137" i="1"/>
  <c r="O163" i="1"/>
  <c r="O168" i="1"/>
  <c r="N86" i="1"/>
  <c r="N99" i="1"/>
  <c r="N108" i="1"/>
  <c r="N137" i="1"/>
  <c r="N163" i="1"/>
  <c r="N168" i="1"/>
  <c r="M86" i="1"/>
  <c r="M99" i="1"/>
  <c r="M108" i="1"/>
  <c r="M137" i="1"/>
  <c r="M163" i="1"/>
  <c r="M168" i="1"/>
  <c r="L86" i="1"/>
  <c r="L99" i="1"/>
  <c r="L108" i="1"/>
  <c r="L137" i="1"/>
  <c r="L163" i="1"/>
  <c r="L168" i="1"/>
  <c r="K86" i="1"/>
  <c r="K99" i="1"/>
  <c r="K108" i="1"/>
  <c r="K137" i="1"/>
  <c r="K163" i="1"/>
  <c r="K168" i="1"/>
  <c r="J86" i="1"/>
  <c r="J99" i="1"/>
  <c r="J108" i="1"/>
  <c r="J137" i="1"/>
  <c r="J163" i="1"/>
  <c r="J168" i="1"/>
  <c r="I86" i="1"/>
  <c r="I99" i="1"/>
  <c r="I108" i="1"/>
  <c r="I137" i="1"/>
  <c r="I163" i="1"/>
  <c r="I168" i="1"/>
  <c r="H86" i="1"/>
  <c r="H99" i="1"/>
  <c r="H108" i="1"/>
  <c r="H137" i="1"/>
  <c r="H163" i="1"/>
  <c r="H168" i="1"/>
  <c r="G86" i="1"/>
  <c r="G99" i="1"/>
  <c r="G108" i="1"/>
  <c r="G137" i="1"/>
  <c r="G163" i="1"/>
  <c r="G168" i="1"/>
  <c r="F86" i="1"/>
  <c r="F99" i="1"/>
  <c r="F108" i="1"/>
  <c r="F137" i="1"/>
  <c r="F163" i="1"/>
  <c r="F168" i="1"/>
  <c r="E86" i="1"/>
  <c r="E99" i="1"/>
  <c r="E108" i="1"/>
  <c r="E137" i="1"/>
  <c r="E163" i="1"/>
  <c r="E168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X149" i="1"/>
  <c r="E144" i="1"/>
  <c r="E145" i="1"/>
  <c r="F143" i="1"/>
  <c r="F144" i="1"/>
  <c r="F145" i="1"/>
  <c r="G143" i="1"/>
  <c r="G144" i="1"/>
  <c r="G145" i="1"/>
  <c r="H143" i="1"/>
  <c r="H144" i="1"/>
  <c r="H145" i="1"/>
  <c r="I143" i="1"/>
  <c r="I144" i="1"/>
  <c r="I145" i="1"/>
  <c r="J143" i="1"/>
  <c r="J144" i="1"/>
  <c r="J145" i="1"/>
  <c r="K143" i="1"/>
  <c r="K144" i="1"/>
  <c r="K145" i="1"/>
  <c r="L143" i="1"/>
  <c r="L144" i="1"/>
  <c r="L145" i="1"/>
  <c r="M143" i="1"/>
  <c r="M144" i="1"/>
  <c r="M145" i="1"/>
  <c r="N143" i="1"/>
  <c r="N144" i="1"/>
  <c r="N145" i="1"/>
  <c r="O143" i="1"/>
  <c r="O144" i="1"/>
  <c r="O145" i="1"/>
  <c r="P143" i="1"/>
  <c r="P144" i="1"/>
  <c r="P145" i="1"/>
  <c r="Q143" i="1"/>
  <c r="Q144" i="1"/>
  <c r="Q145" i="1"/>
  <c r="R143" i="1"/>
  <c r="R144" i="1"/>
  <c r="R145" i="1"/>
  <c r="S143" i="1"/>
  <c r="S144" i="1"/>
  <c r="S145" i="1"/>
  <c r="T143" i="1"/>
  <c r="T144" i="1"/>
  <c r="T145" i="1"/>
  <c r="U143" i="1"/>
  <c r="U144" i="1"/>
  <c r="U145" i="1"/>
  <c r="V143" i="1"/>
  <c r="V144" i="1"/>
  <c r="V145" i="1"/>
  <c r="W143" i="1"/>
  <c r="W144" i="1"/>
  <c r="W145" i="1"/>
  <c r="X143" i="1"/>
  <c r="X144" i="1"/>
  <c r="X145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X122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E106" i="1"/>
  <c r="E102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C51" i="1"/>
  <c r="C47" i="1"/>
  <c r="I36" i="1"/>
  <c r="F34" i="1"/>
  <c r="I3" i="1"/>
  <c r="I32" i="1"/>
  <c r="N6" i="1"/>
  <c r="I6" i="1"/>
  <c r="H5" i="1"/>
</calcChain>
</file>

<file path=xl/sharedStrings.xml><?xml version="1.0" encoding="utf-8"?>
<sst xmlns="http://schemas.openxmlformats.org/spreadsheetml/2006/main" count="313" uniqueCount="171">
  <si>
    <t>ATOS - Production</t>
  </si>
  <si>
    <t>Support Lines</t>
  </si>
  <si>
    <t>PV Assets - Tariff Calculations</t>
  </si>
  <si>
    <t>Main Inputs</t>
  </si>
  <si>
    <t>Market RD 661/2007</t>
  </si>
  <si>
    <t>Real Prodocution in 2013</t>
  </si>
  <si>
    <t>COD</t>
  </si>
  <si>
    <t>Fixed Tariff</t>
  </si>
  <si>
    <t>EUR / MWh</t>
  </si>
  <si>
    <t>Annual degradation</t>
  </si>
  <si>
    <t>%</t>
  </si>
  <si>
    <t>Useful Life</t>
  </si>
  <si>
    <t>Reactive Complement</t>
  </si>
  <si>
    <t>End of life</t>
  </si>
  <si>
    <t>Deviation Costs</t>
  </si>
  <si>
    <t>ATOS - O&amp;M</t>
  </si>
  <si>
    <t>Equivalent production (MWh)</t>
  </si>
  <si>
    <t>Fix Tariff</t>
  </si>
  <si>
    <t>CPI - Spain</t>
  </si>
  <si>
    <t>Financing Inputs</t>
  </si>
  <si>
    <t>Feed-in tariff RD 661/2007</t>
  </si>
  <si>
    <t>Eur 12m Curve</t>
  </si>
  <si>
    <t xml:space="preserve">Applicable FIT Regulated Price </t>
  </si>
  <si>
    <t>Fixed Cost</t>
  </si>
  <si>
    <t>Senior Debt Spread</t>
  </si>
  <si>
    <t>Eur Swap</t>
  </si>
  <si>
    <t>Cost Base for ATOS 1</t>
  </si>
  <si>
    <t>kEUR</t>
  </si>
  <si>
    <t>Senior Debt Fix Rate</t>
  </si>
  <si>
    <t>Expected CPI applicable to FiT based Tariffs</t>
  </si>
  <si>
    <t>O&amp;M Costs</t>
  </si>
  <si>
    <t>CPI Adjustment Applicable to FiT based Tariffs</t>
  </si>
  <si>
    <t>DSCR prior year</t>
  </si>
  <si>
    <t>Senior Facility</t>
  </si>
  <si>
    <t>Security</t>
  </si>
  <si>
    <t>Outstanding Debt 31/12/2012</t>
  </si>
  <si>
    <t>EUR Mn</t>
  </si>
  <si>
    <t>DSCR from previous year</t>
  </si>
  <si>
    <t>covenant</t>
  </si>
  <si>
    <t>Land</t>
  </si>
  <si>
    <t>Applicable Spread</t>
  </si>
  <si>
    <t>Additional Spread</t>
  </si>
  <si>
    <t>Insurance</t>
  </si>
  <si>
    <t>DSRA</t>
  </si>
  <si>
    <t>% / RCSD Y+1</t>
  </si>
  <si>
    <t>Senior Debt Fixed Rate</t>
  </si>
  <si>
    <t>Minimun DSCR for restricted payments</t>
  </si>
  <si>
    <t>Applicable Swap Rate</t>
  </si>
  <si>
    <t>Electrical Consumption</t>
  </si>
  <si>
    <t>Other Inputs</t>
  </si>
  <si>
    <t>Tax</t>
  </si>
  <si>
    <t>Legal Reserves</t>
  </si>
  <si>
    <t>% - Subscribed Capital</t>
  </si>
  <si>
    <t>Local Taxes</t>
  </si>
  <si>
    <t>Pay-Out</t>
  </si>
  <si>
    <t>Additions to Legal Reserves</t>
  </si>
  <si>
    <t>% - Net Income</t>
  </si>
  <si>
    <t>Net Assets BoP - Tangible Fixed Assets</t>
  </si>
  <si>
    <t>Audits</t>
  </si>
  <si>
    <t>Net Assets BoP - Intangible Fixed Assets</t>
  </si>
  <si>
    <t>Income Calculations</t>
  </si>
  <si>
    <t>Net Assets</t>
  </si>
  <si>
    <t>Comunications</t>
  </si>
  <si>
    <t>Tariff</t>
  </si>
  <si>
    <t>Equity</t>
  </si>
  <si>
    <t>Annual Equivalent  Production</t>
  </si>
  <si>
    <t>MWh</t>
  </si>
  <si>
    <t>Senior Debt</t>
  </si>
  <si>
    <t>Electricity Net Sales</t>
  </si>
  <si>
    <t>Agency Comission</t>
  </si>
  <si>
    <t>Civil Works</t>
  </si>
  <si>
    <t>Miscellaneous</t>
  </si>
  <si>
    <t>Variable Costs</t>
  </si>
  <si>
    <t>Toll Fee</t>
  </si>
  <si>
    <t>EUR/MWh</t>
  </si>
  <si>
    <t>Eur Mn</t>
  </si>
  <si>
    <t>Tax new regulation (over revenues)</t>
  </si>
  <si>
    <t>% o/ sales</t>
  </si>
  <si>
    <t>Market Agent</t>
  </si>
  <si>
    <t>P&amp;L</t>
  </si>
  <si>
    <t>Net Sales</t>
  </si>
  <si>
    <t>Total Operating Costs</t>
  </si>
  <si>
    <t xml:space="preserve">EUR </t>
  </si>
  <si>
    <t>Fixed costs</t>
  </si>
  <si>
    <t>EUR</t>
  </si>
  <si>
    <t>O&amp;M</t>
  </si>
  <si>
    <t>Agency fee</t>
  </si>
  <si>
    <t>Generation Tax</t>
  </si>
  <si>
    <t>EBITDA</t>
  </si>
  <si>
    <t>% Margin</t>
  </si>
  <si>
    <t>Depreciation and Amortization Expense</t>
  </si>
  <si>
    <t>EBIT</t>
  </si>
  <si>
    <t>Total Interest Expense from Senior Debt</t>
  </si>
  <si>
    <t>EBT</t>
  </si>
  <si>
    <t>NI</t>
  </si>
  <si>
    <t>Working Capital</t>
  </si>
  <si>
    <t>Revenues</t>
  </si>
  <si>
    <t>Operating costs</t>
  </si>
  <si>
    <t>Net Receivables</t>
  </si>
  <si>
    <t>Net Payables</t>
  </si>
  <si>
    <t>Net WC</t>
  </si>
  <si>
    <t>Change of WC</t>
  </si>
  <si>
    <t>Impact CF</t>
  </si>
  <si>
    <t>D&amp;A Calculations</t>
  </si>
  <si>
    <t>Annual D&amp;A</t>
  </si>
  <si>
    <t>Net Assets (EoP)</t>
  </si>
  <si>
    <t>Cash Flows</t>
  </si>
  <si>
    <t>Change in WC</t>
  </si>
  <si>
    <t>Pre-Debt FCFF</t>
  </si>
  <si>
    <t>Financing</t>
  </si>
  <si>
    <t>Interest expense (swap portion)</t>
  </si>
  <si>
    <t>Interest expense (non-swap portion)</t>
  </si>
  <si>
    <t>Other fees</t>
  </si>
  <si>
    <t>Senior Facility BoP</t>
  </si>
  <si>
    <t>Payments</t>
  </si>
  <si>
    <t>Senior Facility EoP</t>
  </si>
  <si>
    <t>Debt Service</t>
  </si>
  <si>
    <t>DSCR</t>
  </si>
  <si>
    <t>Cash Flows after Senior Debt Payments</t>
  </si>
  <si>
    <t>DSCR Restricts Payments?</t>
  </si>
  <si>
    <t>Earnings Before Taxes</t>
  </si>
  <si>
    <t>Taxes</t>
  </si>
  <si>
    <t>Dec-13</t>
  </si>
  <si>
    <t>Dec-14</t>
  </si>
  <si>
    <t>Dec-15</t>
  </si>
  <si>
    <t>Dec-16</t>
  </si>
  <si>
    <t>Dec-17</t>
  </si>
  <si>
    <t>Dec-18</t>
  </si>
  <si>
    <t>Dec-19</t>
  </si>
  <si>
    <t>Dec-20</t>
  </si>
  <si>
    <t>Dec-21</t>
  </si>
  <si>
    <t>Dec-22</t>
  </si>
  <si>
    <t>Dec-23</t>
  </si>
  <si>
    <t>Dec-24</t>
  </si>
  <si>
    <t>Dec-25</t>
  </si>
  <si>
    <t>Dec-26</t>
  </si>
  <si>
    <t>Dec-27</t>
  </si>
  <si>
    <t>Dec-28</t>
  </si>
  <si>
    <t>Dec-29</t>
  </si>
  <si>
    <t>Dec-30</t>
  </si>
  <si>
    <t>Dec-31</t>
  </si>
  <si>
    <t>Dec-32</t>
  </si>
  <si>
    <t>Corporate Tax</t>
  </si>
  <si>
    <t>Equity Distributions</t>
  </si>
  <si>
    <t>Total Cash Available for Dividends</t>
  </si>
  <si>
    <t>NI from the year</t>
  </si>
  <si>
    <t>Accumulated Losses from Previous Years, BoP</t>
  </si>
  <si>
    <t>(+) Additions</t>
  </si>
  <si>
    <t>Accumulated Losses from Previous Years, EoP</t>
  </si>
  <si>
    <t>Legal Reserves BoP</t>
  </si>
  <si>
    <t>Legal Reserves EoP</t>
  </si>
  <si>
    <t>NI after funding of legal reserve</t>
  </si>
  <si>
    <t>Maximun NI to distribute as ordinary dividend</t>
  </si>
  <si>
    <t>Positive cash?</t>
  </si>
  <si>
    <t>DSCR allows restricted payments?</t>
  </si>
  <si>
    <t>Posibility to pay dividends?</t>
  </si>
  <si>
    <t>Ordinary Dividend</t>
  </si>
  <si>
    <t>Cash available after ordinary dividend</t>
  </si>
  <si>
    <t>Shareholders Cash Flows</t>
  </si>
  <si>
    <t>Dividends</t>
  </si>
  <si>
    <t>Total Cash Flows to Shareholders</t>
  </si>
  <si>
    <t>Shareholders Cash Flows with TV</t>
  </si>
  <si>
    <t>Following standard practices of the utility sector, cash flows to shareholders are corrected to include a terminal value for the investor to be received at the end of operations. In present terms this terminal value usually represents 20% of the NPV of the total cash flows received by shareholders.</t>
  </si>
  <si>
    <t>Total Cash Flow to Shareholders including TV</t>
  </si>
  <si>
    <t>NPV Discounted by 12%</t>
  </si>
  <si>
    <t>Terminal Value incuded on Year 20</t>
  </si>
  <si>
    <t>Shareholders IRR</t>
  </si>
  <si>
    <t>ROE</t>
  </si>
  <si>
    <t>Discount Rate</t>
  </si>
  <si>
    <t>NPV at Discount Rate</t>
  </si>
  <si>
    <t xml:space="preserve">Shareholders IRR TV included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</si>
</sst>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;\(#,##0.0\)"/>
    <numFmt numFmtId="165" formatCode="[$-409]mmm\-yy;@"/>
    <numFmt numFmtId="166" formatCode="#,##0.0;\(#,##0.0\);&quot;--&quot;"/>
    <numFmt numFmtId="167" formatCode="#,##0.0"/>
    <numFmt numFmtId="168" formatCode="0.0"/>
    <numFmt numFmtId="169" formatCode="#,##0;\(#,##0\);&quot;--&quot;"/>
    <numFmt numFmtId="170" formatCode="0.0%"/>
    <numFmt numFmtId="171" formatCode="0.000%"/>
    <numFmt numFmtId="172" formatCode="#,##0.000"/>
    <numFmt numFmtId="173" formatCode="0.00\x"/>
    <numFmt numFmtId="174" formatCode="0.000"/>
    <numFmt numFmtId="175" formatCode="#,##0.00;\(#,##0.00\);&quot;--&quot;"/>
    <numFmt numFmtId="176" formatCode="0.0%;\(0.0%\)"/>
    <numFmt numFmtId="177" formatCode="#,##0.0000;\(#,##0.0000\);&quot;--&quot;"/>
    <numFmt numFmtId="178" formatCode="#,###;\(#,###\)"/>
    <numFmt numFmtId="179" formatCode="dd/mm/yyyy;@"/>
    <numFmt numFmtId="180" formatCode="[$-C0A]mmm\-yy;@"/>
    <numFmt numFmtId="181" formatCode="0.0%;\(0.0\)%;\—\%"/>
    <numFmt numFmtId="182" formatCode="#,##0.0\x;\(#,##0.0\)\x;\—\x"/>
    <numFmt numFmtId="183" formatCode="0&quot;E&quot;"/>
    <numFmt numFmtId="184" formatCode="0&quot;A&quot;"/>
  </numFmts>
  <fonts count="31" x14ac:knownFonts="1">
    <font>
      <sz val="10"/>
      <name val="Arial"/>
    </font>
    <font>
      <sz val="10"/>
      <name val="Arial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sz val="9"/>
      <color theme="1"/>
      <name val="Arial"/>
      <family val="2"/>
    </font>
    <font>
      <sz val="9"/>
      <color theme="3"/>
      <name val="Arial"/>
      <family val="2"/>
    </font>
    <font>
      <sz val="9"/>
      <color indexed="8"/>
      <name val="Arial"/>
      <family val="2"/>
    </font>
    <font>
      <b/>
      <sz val="9"/>
      <color indexed="55"/>
      <name val="Arial"/>
      <family val="2"/>
    </font>
    <font>
      <b/>
      <sz val="9"/>
      <color indexed="22"/>
      <name val="Arial"/>
      <family val="2"/>
    </font>
    <font>
      <sz val="9"/>
      <color indexed="12"/>
      <name val="Arial"/>
      <family val="2"/>
    </font>
    <font>
      <sz val="9"/>
      <color rgb="FF0000FF"/>
      <name val="Arial"/>
      <family val="2"/>
    </font>
    <font>
      <sz val="11"/>
      <color indexed="8"/>
      <name val="Calibri"/>
      <family val="2"/>
    </font>
    <font>
      <u/>
      <sz val="9"/>
      <color indexed="8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b/>
      <sz val="9"/>
      <color rgb="FFFFFFFF"/>
      <name val="Arial"/>
    </font>
    <font>
      <b/>
      <sz val="10"/>
      <name val="Arial"/>
      <family val="2"/>
    </font>
    <font>
      <b/>
      <sz val="8"/>
      <color indexed="22"/>
      <name val="Trebuchet MS"/>
      <family val="2"/>
    </font>
    <font>
      <sz val="9"/>
      <color indexed="12"/>
      <name val="Trebuchet MS"/>
      <family val="2"/>
    </font>
    <font>
      <sz val="6"/>
      <color indexed="10"/>
      <name val="Trebuchet MS"/>
      <family val="2"/>
    </font>
    <font>
      <sz val="8"/>
      <color indexed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i/>
      <sz val="6"/>
      <name val="Trebuchet MS"/>
      <family val="2"/>
    </font>
    <font>
      <sz val="11"/>
      <color theme="1"/>
      <name val="Calibri"/>
      <family val="2"/>
      <scheme val="minor"/>
    </font>
    <font>
      <b/>
      <sz val="9"/>
      <color indexed="9"/>
      <name val="Trebuchet MS"/>
      <family val="2"/>
    </font>
    <font>
      <sz val="1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3AAF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indexed="26"/>
      </left>
      <right style="dashed">
        <color indexed="26"/>
      </right>
      <top style="dashed">
        <color indexed="26"/>
      </top>
      <bottom style="dashed">
        <color indexed="26"/>
      </bottom>
      <diagonal/>
    </border>
    <border>
      <left/>
      <right/>
      <top/>
      <bottom style="thin">
        <color indexed="23"/>
      </bottom>
      <diagonal/>
    </border>
  </borders>
  <cellStyleXfs count="30">
    <xf numFmtId="164" fontId="0" fillId="0" borderId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0" fontId="15" fillId="0" borderId="0"/>
    <xf numFmtId="178" fontId="21" fillId="0" borderId="0"/>
    <xf numFmtId="164" fontId="22" fillId="5" borderId="0" applyNumberFormat="0"/>
    <xf numFmtId="164" fontId="23" fillId="0" borderId="0" applyNumberFormat="0" applyBorder="0" applyAlignment="0" applyProtection="0"/>
    <xf numFmtId="1" fontId="24" fillId="10" borderId="15"/>
    <xf numFmtId="43" fontId="1" fillId="0" borderId="0" applyFont="0" applyFill="0" applyBorder="0" applyAlignment="0" applyProtection="0"/>
    <xf numFmtId="179" fontId="25" fillId="0" borderId="0" applyFill="0" applyBorder="0"/>
    <xf numFmtId="180" fontId="25" fillId="0" borderId="0" applyFill="0" applyBorder="0"/>
    <xf numFmtId="44" fontId="1" fillId="0" borderId="0" applyFont="0" applyFill="0" applyBorder="0" applyAlignment="0" applyProtection="0"/>
    <xf numFmtId="164" fontId="22" fillId="0" borderId="0" applyBorder="0"/>
    <xf numFmtId="164" fontId="26" fillId="11" borderId="7" applyAlignment="0"/>
    <xf numFmtId="181" fontId="27" fillId="0" borderId="0" applyFill="0" applyBorder="0"/>
    <xf numFmtId="43" fontId="1" fillId="0" borderId="0" applyFont="0" applyFill="0" applyBorder="0" applyAlignment="0" applyProtection="0"/>
    <xf numFmtId="182" fontId="25" fillId="0" borderId="0" applyFill="0" applyBorder="0" applyAlignment="0"/>
    <xf numFmtId="0" fontId="1" fillId="0" borderId="0"/>
    <xf numFmtId="0" fontId="28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5" fillId="12" borderId="16" applyNumberFormat="0"/>
    <xf numFmtId="0" fontId="29" fillId="13" borderId="0">
      <alignment horizontal="left"/>
    </xf>
    <xf numFmtId="1" fontId="25" fillId="0" borderId="0" applyFill="0" applyBorder="0" applyAlignment="0" applyProtection="0"/>
    <xf numFmtId="183" fontId="30" fillId="0" borderId="0" applyFont="0" applyFill="0" applyBorder="0" applyAlignment="0"/>
    <xf numFmtId="184" fontId="30" fillId="0" borderId="0" applyFont="0" applyFill="0" applyBorder="0" applyAlignment="0"/>
  </cellStyleXfs>
  <cellXfs count="181">
    <xf numFmtId="164" fontId="0" fillId="0" borderId="0" xfId="0"/>
    <xf numFmtId="0" fontId="2" fillId="2" borderId="0" xfId="2" applyNumberFormat="1" applyFont="1" applyFill="1" applyBorder="1" applyAlignment="1">
      <alignment vertical="center" wrapText="1"/>
    </xf>
    <xf numFmtId="0" fontId="2" fillId="2" borderId="0" xfId="2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" fillId="3" borderId="1" xfId="2" applyNumberFormat="1" applyFont="1" applyFill="1" applyBorder="1" applyAlignment="1">
      <alignment vertical="center"/>
    </xf>
    <xf numFmtId="0" fontId="2" fillId="3" borderId="1" xfId="2" applyNumberFormat="1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right" vertical="center" indent="1"/>
    </xf>
    <xf numFmtId="0" fontId="3" fillId="0" borderId="0" xfId="2" applyNumberFormat="1" applyFont="1" applyAlignment="1">
      <alignment vertical="center"/>
    </xf>
    <xf numFmtId="0" fontId="4" fillId="0" borderId="0" xfId="2" applyNumberFormat="1" applyFont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Border="1" applyAlignment="1">
      <alignment vertical="center"/>
    </xf>
    <xf numFmtId="0" fontId="6" fillId="0" borderId="1" xfId="2" applyNumberFormat="1" applyFont="1" applyBorder="1" applyAlignment="1">
      <alignment vertical="center"/>
    </xf>
    <xf numFmtId="166" fontId="6" fillId="0" borderId="1" xfId="2" applyNumberFormat="1" applyFont="1" applyBorder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/>
    </xf>
    <xf numFmtId="0" fontId="5" fillId="0" borderId="0" xfId="2" applyNumberFormat="1" applyFont="1" applyAlignment="1">
      <alignment vertical="center"/>
    </xf>
    <xf numFmtId="0" fontId="4" fillId="0" borderId="0" xfId="2" applyNumberFormat="1" applyFont="1" applyBorder="1" applyAlignment="1">
      <alignment horizontal="center" vertical="center"/>
    </xf>
    <xf numFmtId="0" fontId="6" fillId="0" borderId="0" xfId="2" applyNumberFormat="1" applyFont="1" applyBorder="1" applyAlignment="1">
      <alignment horizontal="right" vertical="center" indent="1"/>
    </xf>
    <xf numFmtId="0" fontId="8" fillId="0" borderId="0" xfId="2" applyNumberFormat="1" applyFont="1" applyAlignment="1">
      <alignment vertical="center"/>
    </xf>
    <xf numFmtId="3" fontId="9" fillId="4" borderId="2" xfId="2" applyNumberFormat="1" applyFont="1" applyFill="1" applyBorder="1" applyAlignment="1">
      <alignment horizontal="center"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14" fontId="10" fillId="0" borderId="2" xfId="2" applyNumberFormat="1" applyFont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0" fontId="6" fillId="0" borderId="0" xfId="3" applyNumberFormat="1" applyFont="1" applyAlignment="1">
      <alignment vertical="center"/>
    </xf>
    <xf numFmtId="0" fontId="11" fillId="0" borderId="0" xfId="3" applyNumberFormat="1" applyFont="1" applyAlignment="1">
      <alignment horizontal="center" vertical="center"/>
    </xf>
    <xf numFmtId="0" fontId="6" fillId="0" borderId="0" xfId="3" applyNumberFormat="1" applyFont="1" applyBorder="1" applyAlignment="1">
      <alignment horizontal="right" vertical="center" indent="1"/>
    </xf>
    <xf numFmtId="167" fontId="9" fillId="5" borderId="2" xfId="1" applyNumberFormat="1" applyFont="1" applyFill="1" applyBorder="1" applyAlignment="1">
      <alignment horizontal="center" vertical="center"/>
    </xf>
    <xf numFmtId="0" fontId="11" fillId="0" borderId="0" xfId="2" applyNumberFormat="1" applyFont="1" applyAlignment="1">
      <alignment horizontal="center" vertical="center"/>
    </xf>
    <xf numFmtId="10" fontId="9" fillId="4" borderId="2" xfId="2" applyNumberFormat="1" applyFont="1" applyFill="1" applyBorder="1" applyAlignment="1">
      <alignment horizontal="center" vertical="center"/>
    </xf>
    <xf numFmtId="168" fontId="10" fillId="0" borderId="2" xfId="2" applyNumberFormat="1" applyFont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0" fontId="6" fillId="0" borderId="0" xfId="2" applyNumberFormat="1" applyFont="1" applyAlignment="1">
      <alignment horizontal="left" vertical="center" indent="1"/>
    </xf>
    <xf numFmtId="4" fontId="9" fillId="5" borderId="2" xfId="1" applyNumberFormat="1" applyFont="1" applyFill="1" applyBorder="1" applyAlignment="1">
      <alignment horizontal="center" vertical="center"/>
    </xf>
    <xf numFmtId="0" fontId="6" fillId="0" borderId="3" xfId="2" applyNumberFormat="1" applyFont="1" applyBorder="1" applyAlignment="1">
      <alignment vertical="center"/>
    </xf>
    <xf numFmtId="0" fontId="4" fillId="0" borderId="3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4" fontId="9" fillId="5" borderId="4" xfId="1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/>
    </xf>
    <xf numFmtId="166" fontId="6" fillId="0" borderId="0" xfId="2" applyNumberFormat="1" applyFont="1" applyAlignment="1">
      <alignment horizontal="center" vertical="center"/>
    </xf>
    <xf numFmtId="169" fontId="6" fillId="0" borderId="0" xfId="2" applyNumberFormat="1" applyFont="1" applyFill="1" applyAlignment="1">
      <alignment horizontal="center" vertical="center"/>
    </xf>
    <xf numFmtId="0" fontId="6" fillId="0" borderId="5" xfId="2" applyNumberFormat="1" applyFont="1" applyBorder="1" applyAlignment="1">
      <alignment vertical="center"/>
    </xf>
    <xf numFmtId="0" fontId="11" fillId="0" borderId="5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right" vertical="center" indent="1"/>
    </xf>
    <xf numFmtId="167" fontId="6" fillId="0" borderId="5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horizontal="center" vertical="center"/>
    </xf>
    <xf numFmtId="166" fontId="7" fillId="0" borderId="0" xfId="2" applyNumberFormat="1" applyFont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170" fontId="8" fillId="0" borderId="0" xfId="1" applyNumberFormat="1" applyFont="1" applyAlignment="1">
      <alignment horizontal="center" vertical="center"/>
    </xf>
    <xf numFmtId="0" fontId="12" fillId="0" borderId="0" xfId="2" applyNumberFormat="1" applyFont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0" fontId="6" fillId="0" borderId="0" xfId="2" applyNumberFormat="1" applyFont="1" applyAlignment="1">
      <alignment horizontal="right" vertical="center" indent="1"/>
    </xf>
    <xf numFmtId="0" fontId="4" fillId="0" borderId="1" xfId="2" applyNumberFormat="1" applyFont="1" applyBorder="1" applyAlignment="1">
      <alignment horizontal="center" vertical="center"/>
    </xf>
    <xf numFmtId="171" fontId="8" fillId="0" borderId="0" xfId="2" applyNumberFormat="1" applyFont="1" applyAlignment="1">
      <alignment horizontal="center" vertical="center"/>
    </xf>
    <xf numFmtId="0" fontId="4" fillId="0" borderId="0" xfId="2" applyNumberFormat="1" applyFont="1" applyAlignment="1">
      <alignment horizontal="left" vertical="center" indent="1"/>
    </xf>
    <xf numFmtId="166" fontId="13" fillId="0" borderId="0" xfId="2" applyNumberFormat="1" applyFont="1" applyAlignment="1">
      <alignment horizontal="center" vertical="center"/>
    </xf>
    <xf numFmtId="10" fontId="8" fillId="0" borderId="0" xfId="2" applyNumberFormat="1" applyFont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170" fontId="6" fillId="0" borderId="0" xfId="2" applyNumberFormat="1" applyFont="1" applyAlignment="1">
      <alignment horizontal="center" vertical="center"/>
    </xf>
    <xf numFmtId="170" fontId="9" fillId="4" borderId="2" xfId="2" applyNumberFormat="1" applyFont="1" applyFill="1" applyBorder="1" applyAlignment="1">
      <alignment horizontal="center" vertical="center"/>
    </xf>
    <xf numFmtId="172" fontId="6" fillId="0" borderId="0" xfId="3" applyNumberFormat="1" applyFont="1" applyAlignment="1">
      <alignment horizontal="center" vertical="center"/>
    </xf>
    <xf numFmtId="0" fontId="6" fillId="0" borderId="0" xfId="2" applyNumberFormat="1" applyFont="1" applyAlignment="1">
      <alignment horizontal="left" vertical="center"/>
    </xf>
    <xf numFmtId="173" fontId="8" fillId="0" borderId="0" xfId="2" applyNumberFormat="1" applyFont="1" applyAlignment="1">
      <alignment horizontal="right" vertical="center"/>
    </xf>
    <xf numFmtId="0" fontId="4" fillId="0" borderId="0" xfId="3" applyNumberFormat="1" applyFont="1" applyAlignment="1">
      <alignment horizontal="left" vertical="center" indent="1"/>
    </xf>
    <xf numFmtId="0" fontId="6" fillId="0" borderId="1" xfId="2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right" vertical="center" indent="1"/>
    </xf>
    <xf numFmtId="0" fontId="6" fillId="0" borderId="0" xfId="2" applyNumberFormat="1" applyFont="1" applyBorder="1" applyAlignment="1">
      <alignment horizontal="center" vertical="center"/>
    </xf>
    <xf numFmtId="0" fontId="6" fillId="0" borderId="0" xfId="2" applyNumberFormat="1" applyFont="1"/>
    <xf numFmtId="0" fontId="6" fillId="0" borderId="0" xfId="2" applyNumberFormat="1" applyFont="1" applyAlignment="1">
      <alignment horizontal="center"/>
    </xf>
    <xf numFmtId="174" fontId="8" fillId="6" borderId="2" xfId="2" applyNumberFormat="1" applyFont="1" applyFill="1" applyBorder="1" applyAlignment="1">
      <alignment horizontal="center" vertical="center"/>
    </xf>
    <xf numFmtId="174" fontId="8" fillId="6" borderId="0" xfId="2" applyNumberFormat="1" applyFont="1" applyFill="1" applyBorder="1" applyAlignment="1">
      <alignment horizontal="center" vertical="center"/>
    </xf>
    <xf numFmtId="171" fontId="6" fillId="0" borderId="0" xfId="2" applyNumberFormat="1" applyFont="1" applyAlignment="1">
      <alignment horizontal="center" vertical="center"/>
    </xf>
    <xf numFmtId="0" fontId="6" fillId="0" borderId="0" xfId="2" applyNumberFormat="1" applyFont="1" applyBorder="1" applyAlignment="1">
      <alignment horizontal="left" vertical="center" indent="1"/>
    </xf>
    <xf numFmtId="0" fontId="11" fillId="0" borderId="0" xfId="2" applyNumberFormat="1" applyFont="1" applyBorder="1" applyAlignment="1">
      <alignment horizontal="center" vertical="center"/>
    </xf>
    <xf numFmtId="0" fontId="11" fillId="0" borderId="1" xfId="2" applyNumberFormat="1" applyFont="1" applyBorder="1" applyAlignment="1">
      <alignment horizontal="center" vertical="center"/>
    </xf>
    <xf numFmtId="170" fontId="8" fillId="0" borderId="0" xfId="2" applyNumberFormat="1" applyFont="1" applyAlignment="1">
      <alignment horizontal="center" vertical="center"/>
    </xf>
    <xf numFmtId="3" fontId="14" fillId="0" borderId="0" xfId="2" applyNumberFormat="1" applyFont="1" applyAlignment="1">
      <alignment horizontal="center" vertical="center"/>
    </xf>
    <xf numFmtId="10" fontId="9" fillId="4" borderId="2" xfId="1" applyNumberFormat="1" applyFont="1" applyFill="1" applyBorder="1" applyAlignment="1">
      <alignment horizontal="center" vertical="center"/>
    </xf>
    <xf numFmtId="173" fontId="8" fillId="0" borderId="0" xfId="2" applyNumberFormat="1" applyFont="1" applyAlignment="1">
      <alignment horizontal="center" vertical="center"/>
    </xf>
    <xf numFmtId="10" fontId="9" fillId="0" borderId="0" xfId="1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left" vertical="center"/>
    </xf>
    <xf numFmtId="0" fontId="12" fillId="0" borderId="5" xfId="2" applyNumberFormat="1" applyFont="1" applyBorder="1" applyAlignment="1">
      <alignment horizontal="center" vertical="center"/>
    </xf>
    <xf numFmtId="166" fontId="6" fillId="0" borderId="5" xfId="2" applyNumberFormat="1" applyFont="1" applyBorder="1" applyAlignment="1">
      <alignment horizontal="center" vertical="center"/>
    </xf>
    <xf numFmtId="0" fontId="6" fillId="6" borderId="0" xfId="2" applyNumberFormat="1" applyFont="1" applyFill="1" applyAlignment="1">
      <alignment vertical="center"/>
    </xf>
    <xf numFmtId="0" fontId="11" fillId="6" borderId="0" xfId="2" applyNumberFormat="1" applyFont="1" applyFill="1" applyAlignment="1">
      <alignment horizontal="center" vertical="center"/>
    </xf>
    <xf numFmtId="3" fontId="6" fillId="6" borderId="0" xfId="2" applyNumberFormat="1" applyFont="1" applyFill="1" applyAlignment="1">
      <alignment horizontal="center" vertical="center"/>
    </xf>
    <xf numFmtId="0" fontId="6" fillId="0" borderId="1" xfId="2" applyNumberFormat="1" applyFont="1" applyBorder="1" applyAlignment="1">
      <alignment horizontal="left" vertical="center"/>
    </xf>
    <xf numFmtId="0" fontId="12" fillId="0" borderId="1" xfId="2" applyNumberFormat="1" applyFont="1" applyBorder="1" applyAlignment="1">
      <alignment horizontal="center" vertical="center"/>
    </xf>
    <xf numFmtId="174" fontId="6" fillId="0" borderId="1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left" vertical="center"/>
    </xf>
    <xf numFmtId="3" fontId="5" fillId="0" borderId="0" xfId="2" applyNumberFormat="1" applyFont="1" applyAlignment="1">
      <alignment horizontal="center" vertical="center"/>
    </xf>
    <xf numFmtId="0" fontId="6" fillId="0" borderId="0" xfId="2" applyNumberFormat="1" applyFont="1" applyBorder="1" applyAlignment="1">
      <alignment horizontal="left" vertical="center"/>
    </xf>
    <xf numFmtId="0" fontId="12" fillId="0" borderId="0" xfId="2" applyNumberFormat="1" applyFont="1" applyBorder="1" applyAlignment="1">
      <alignment horizontal="center" vertical="center"/>
    </xf>
    <xf numFmtId="166" fontId="6" fillId="0" borderId="0" xfId="2" applyNumberFormat="1" applyFont="1" applyFill="1" applyBorder="1" applyAlignment="1">
      <alignment horizontal="center" vertical="center"/>
    </xf>
    <xf numFmtId="169" fontId="5" fillId="0" borderId="0" xfId="2" applyNumberFormat="1" applyFont="1" applyAlignment="1">
      <alignment horizontal="center" vertical="center"/>
    </xf>
    <xf numFmtId="175" fontId="13" fillId="0" borderId="0" xfId="2" applyNumberFormat="1" applyFont="1" applyAlignment="1">
      <alignment horizontal="center" vertical="center"/>
    </xf>
    <xf numFmtId="167" fontId="14" fillId="0" borderId="5" xfId="2" applyNumberFormat="1" applyFont="1" applyBorder="1" applyAlignment="1">
      <alignment horizontal="center" vertical="center"/>
    </xf>
    <xf numFmtId="0" fontId="16" fillId="7" borderId="0" xfId="4" applyFont="1" applyFill="1" applyAlignment="1">
      <alignment horizontal="left" vertical="center"/>
    </xf>
    <xf numFmtId="176" fontId="13" fillId="0" borderId="0" xfId="2" applyNumberFormat="1" applyFont="1" applyFill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" fontId="6" fillId="0" borderId="0" xfId="2" applyNumberFormat="1" applyFont="1" applyAlignment="1">
      <alignment horizontal="center" vertical="center"/>
    </xf>
    <xf numFmtId="168" fontId="6" fillId="0" borderId="0" xfId="2" applyNumberFormat="1" applyFont="1" applyAlignment="1">
      <alignment horizontal="center" vertical="center"/>
    </xf>
    <xf numFmtId="0" fontId="5" fillId="8" borderId="6" xfId="2" applyNumberFormat="1" applyFont="1" applyFill="1" applyBorder="1" applyAlignment="1">
      <alignment vertical="center"/>
    </xf>
    <xf numFmtId="0" fontId="6" fillId="8" borderId="7" xfId="2" applyNumberFormat="1" applyFont="1" applyFill="1" applyBorder="1" applyAlignment="1">
      <alignment vertical="center"/>
    </xf>
    <xf numFmtId="0" fontId="6" fillId="8" borderId="7" xfId="2" applyNumberFormat="1" applyFont="1" applyFill="1" applyBorder="1" applyAlignment="1">
      <alignment horizontal="center" vertical="center"/>
    </xf>
    <xf numFmtId="169" fontId="5" fillId="8" borderId="7" xfId="2" applyNumberFormat="1" applyFont="1" applyFill="1" applyBorder="1" applyAlignment="1">
      <alignment horizontal="center" vertical="center"/>
    </xf>
    <xf numFmtId="0" fontId="5" fillId="0" borderId="1" xfId="2" applyNumberFormat="1" applyFont="1" applyBorder="1" applyAlignment="1">
      <alignment horizontal="left" vertical="center"/>
    </xf>
    <xf numFmtId="169" fontId="5" fillId="0" borderId="1" xfId="2" applyNumberFormat="1" applyFont="1" applyBorder="1" applyAlignment="1">
      <alignment horizontal="center" vertical="center"/>
    </xf>
    <xf numFmtId="169" fontId="6" fillId="0" borderId="0" xfId="2" applyNumberFormat="1" applyFont="1" applyAlignment="1">
      <alignment horizontal="center" vertical="center"/>
    </xf>
    <xf numFmtId="0" fontId="12" fillId="0" borderId="0" xfId="2" applyNumberFormat="1" applyFont="1" applyFill="1" applyAlignment="1">
      <alignment horizontal="center" vertical="center"/>
    </xf>
    <xf numFmtId="0" fontId="17" fillId="0" borderId="0" xfId="2" applyNumberFormat="1" applyFont="1" applyAlignment="1">
      <alignment vertical="center"/>
    </xf>
    <xf numFmtId="0" fontId="17" fillId="0" borderId="0" xfId="2" applyNumberFormat="1" applyFont="1" applyAlignment="1">
      <alignment horizontal="center" vertical="center"/>
    </xf>
    <xf numFmtId="170" fontId="17" fillId="0" borderId="0" xfId="1" applyNumberFormat="1" applyFont="1" applyAlignment="1">
      <alignment horizontal="center" vertical="center"/>
    </xf>
    <xf numFmtId="0" fontId="6" fillId="0" borderId="0" xfId="2" applyNumberFormat="1" applyFont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166" fontId="8" fillId="0" borderId="1" xfId="2" applyNumberFormat="1" applyFont="1" applyBorder="1" applyAlignment="1">
      <alignment horizontal="right" vertical="center"/>
    </xf>
    <xf numFmtId="169" fontId="6" fillId="0" borderId="1" xfId="2" applyNumberFormat="1" applyFont="1" applyBorder="1" applyAlignment="1">
      <alignment horizontal="center" vertical="center"/>
    </xf>
    <xf numFmtId="166" fontId="6" fillId="0" borderId="0" xfId="2" applyNumberFormat="1" applyFont="1" applyAlignment="1">
      <alignment horizontal="right" vertical="center"/>
    </xf>
    <xf numFmtId="168" fontId="17" fillId="0" borderId="0" xfId="2" applyNumberFormat="1" applyFont="1" applyAlignment="1">
      <alignment horizontal="center" vertical="center"/>
    </xf>
    <xf numFmtId="169" fontId="5" fillId="0" borderId="0" xfId="2" applyNumberFormat="1" applyFont="1" applyBorder="1" applyAlignment="1">
      <alignment horizontal="center" vertical="center"/>
    </xf>
    <xf numFmtId="175" fontId="5" fillId="0" borderId="0" xfId="2" applyNumberFormat="1" applyFont="1" applyBorder="1" applyAlignment="1">
      <alignment horizontal="center" vertical="center"/>
    </xf>
    <xf numFmtId="0" fontId="18" fillId="3" borderId="1" xfId="2" applyNumberFormat="1" applyFont="1" applyFill="1" applyBorder="1" applyAlignment="1">
      <alignment vertical="center"/>
    </xf>
    <xf numFmtId="168" fontId="6" fillId="0" borderId="0" xfId="2" applyNumberFormat="1" applyFont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0" fontId="5" fillId="0" borderId="5" xfId="2" applyNumberFormat="1" applyFont="1" applyBorder="1" applyAlignment="1">
      <alignment horizontal="left" vertical="center"/>
    </xf>
    <xf numFmtId="0" fontId="5" fillId="0" borderId="5" xfId="2" applyNumberFormat="1" applyFont="1" applyBorder="1" applyAlignment="1">
      <alignment vertical="center"/>
    </xf>
    <xf numFmtId="0" fontId="5" fillId="0" borderId="0" xfId="2" applyNumberFormat="1" applyFont="1" applyAlignment="1">
      <alignment horizontal="left" vertical="center"/>
    </xf>
    <xf numFmtId="177" fontId="6" fillId="0" borderId="0" xfId="2" applyNumberFormat="1" applyFont="1" applyAlignment="1">
      <alignment horizontal="center" vertical="center"/>
    </xf>
    <xf numFmtId="166" fontId="5" fillId="0" borderId="5" xfId="2" applyNumberFormat="1" applyFont="1" applyBorder="1" applyAlignment="1">
      <alignment horizontal="center" vertical="center"/>
    </xf>
    <xf numFmtId="169" fontId="8" fillId="0" borderId="5" xfId="2" applyNumberFormat="1" applyFont="1" applyBorder="1" applyAlignment="1">
      <alignment horizontal="center" vertical="center"/>
    </xf>
    <xf numFmtId="169" fontId="8" fillId="0" borderId="0" xfId="2" applyNumberFormat="1" applyFont="1" applyBorder="1" applyAlignment="1">
      <alignment horizontal="center" vertical="center"/>
    </xf>
    <xf numFmtId="169" fontId="8" fillId="0" borderId="1" xfId="2" applyNumberFormat="1" applyFont="1" applyBorder="1" applyAlignment="1">
      <alignment horizontal="center" vertical="center"/>
    </xf>
    <xf numFmtId="0" fontId="6" fillId="6" borderId="0" xfId="2" applyNumberFormat="1" applyFont="1" applyFill="1" applyBorder="1" applyAlignment="1">
      <alignment horizontal="left" vertical="center"/>
    </xf>
    <xf numFmtId="0" fontId="6" fillId="6" borderId="0" xfId="2" applyNumberFormat="1" applyFont="1" applyFill="1" applyBorder="1" applyAlignment="1">
      <alignment vertical="center"/>
    </xf>
    <xf numFmtId="0" fontId="12" fillId="6" borderId="0" xfId="2" applyNumberFormat="1" applyFont="1" applyFill="1" applyBorder="1" applyAlignment="1">
      <alignment horizontal="center" vertical="center"/>
    </xf>
    <xf numFmtId="175" fontId="6" fillId="0" borderId="0" xfId="2" applyNumberFormat="1" applyFont="1" applyAlignment="1">
      <alignment horizontal="center"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9" fontId="17" fillId="0" borderId="0" xfId="1" applyFont="1" applyAlignment="1">
      <alignment horizontal="center" vertical="center"/>
    </xf>
    <xf numFmtId="0" fontId="19" fillId="9" borderId="8" xfId="0" applyNumberFormat="1" applyFont="1" applyFill="1" applyBorder="1" applyAlignment="1">
      <alignment vertical="center"/>
    </xf>
    <xf numFmtId="0" fontId="19" fillId="9" borderId="8" xfId="0" applyNumberFormat="1" applyFont="1" applyFill="1" applyBorder="1" applyAlignment="1">
      <alignment horizontal="center" vertical="center"/>
    </xf>
    <xf numFmtId="169" fontId="6" fillId="0" borderId="0" xfId="0" applyNumberFormat="1" applyFont="1" applyAlignment="1">
      <alignment horizontal="center"/>
    </xf>
    <xf numFmtId="0" fontId="18" fillId="3" borderId="1" xfId="2" applyNumberFormat="1" applyFont="1" applyFill="1" applyBorder="1" applyAlignment="1">
      <alignment horizontal="center" vertical="center"/>
    </xf>
    <xf numFmtId="169" fontId="6" fillId="0" borderId="0" xfId="2" applyNumberFormat="1" applyFont="1" applyBorder="1" applyAlignment="1">
      <alignment horizontal="center" vertical="center"/>
    </xf>
    <xf numFmtId="169" fontId="9" fillId="4" borderId="2" xfId="2" applyNumberFormat="1" applyFont="1" applyFill="1" applyBorder="1" applyAlignment="1">
      <alignment horizontal="center" vertical="center"/>
    </xf>
    <xf numFmtId="169" fontId="6" fillId="0" borderId="5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left" vertical="center"/>
    </xf>
    <xf numFmtId="169" fontId="5" fillId="0" borderId="5" xfId="2" applyNumberFormat="1" applyFont="1" applyBorder="1" applyAlignment="1">
      <alignment horizontal="center" vertical="center"/>
    </xf>
    <xf numFmtId="166" fontId="5" fillId="0" borderId="0" xfId="2" applyNumberFormat="1" applyFont="1" applyBorder="1" applyAlignment="1">
      <alignment horizontal="center" vertical="center"/>
    </xf>
    <xf numFmtId="0" fontId="5" fillId="6" borderId="5" xfId="2" applyNumberFormat="1" applyFont="1" applyFill="1" applyBorder="1" applyAlignment="1">
      <alignment horizontal="left" vertical="center"/>
    </xf>
    <xf numFmtId="1" fontId="5" fillId="0" borderId="5" xfId="2" applyNumberFormat="1" applyFont="1" applyBorder="1" applyAlignment="1">
      <alignment horizontal="center" vertical="center"/>
    </xf>
    <xf numFmtId="169" fontId="5" fillId="0" borderId="0" xfId="2" applyNumberFormat="1" applyFont="1" applyAlignment="1">
      <alignment horizontal="left" vertical="center"/>
    </xf>
    <xf numFmtId="169" fontId="5" fillId="0" borderId="0" xfId="2" applyNumberFormat="1" applyFont="1" applyAlignment="1">
      <alignment vertical="center"/>
    </xf>
    <xf numFmtId="169" fontId="12" fillId="0" borderId="0" xfId="2" applyNumberFormat="1" applyFont="1" applyBorder="1" applyAlignment="1">
      <alignment horizontal="center" vertical="center"/>
    </xf>
    <xf numFmtId="169" fontId="6" fillId="0" borderId="0" xfId="2" applyNumberFormat="1" applyFont="1" applyAlignment="1">
      <alignment horizontal="left" vertical="center"/>
    </xf>
    <xf numFmtId="169" fontId="12" fillId="0" borderId="0" xfId="2" applyNumberFormat="1" applyFont="1" applyAlignment="1">
      <alignment horizontal="center" vertical="center"/>
    </xf>
    <xf numFmtId="169" fontId="6" fillId="0" borderId="0" xfId="2" applyNumberFormat="1" applyFont="1" applyBorder="1" applyAlignment="1">
      <alignment vertical="center"/>
    </xf>
    <xf numFmtId="169" fontId="6" fillId="0" borderId="0" xfId="2" applyNumberFormat="1" applyFont="1" applyAlignment="1">
      <alignment vertical="center"/>
    </xf>
    <xf numFmtId="169" fontId="2" fillId="3" borderId="1" xfId="2" applyNumberFormat="1" applyFont="1" applyFill="1" applyBorder="1" applyAlignment="1">
      <alignment vertical="center"/>
    </xf>
    <xf numFmtId="169" fontId="2" fillId="3" borderId="1" xfId="2" applyNumberFormat="1" applyFont="1" applyFill="1" applyBorder="1" applyAlignment="1">
      <alignment horizontal="center" vertical="center"/>
    </xf>
    <xf numFmtId="169" fontId="5" fillId="0" borderId="5" xfId="2" applyNumberFormat="1" applyFont="1" applyBorder="1" applyAlignment="1">
      <alignment horizontal="left" vertical="center"/>
    </xf>
    <xf numFmtId="169" fontId="5" fillId="0" borderId="5" xfId="2" applyNumberFormat="1" applyFont="1" applyBorder="1" applyAlignment="1">
      <alignment vertical="center"/>
    </xf>
    <xf numFmtId="169" fontId="12" fillId="0" borderId="5" xfId="2" applyNumberFormat="1" applyFont="1" applyBorder="1" applyAlignment="1">
      <alignment horizontal="center" vertical="center"/>
    </xf>
    <xf numFmtId="169" fontId="5" fillId="0" borderId="0" xfId="2" applyNumberFormat="1" applyFont="1" applyBorder="1" applyAlignment="1">
      <alignment horizontal="left" vertical="center"/>
    </xf>
    <xf numFmtId="169" fontId="5" fillId="0" borderId="0" xfId="2" applyNumberFormat="1" applyFont="1" applyBorder="1" applyAlignment="1">
      <alignment vertical="center"/>
    </xf>
    <xf numFmtId="0" fontId="20" fillId="0" borderId="0" xfId="0" applyNumberFormat="1" applyFont="1"/>
    <xf numFmtId="0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5" fillId="0" borderId="0" xfId="1" applyNumberFormat="1" applyFont="1"/>
    <xf numFmtId="9" fontId="5" fillId="0" borderId="0" xfId="0" applyNumberFormat="1" applyFont="1"/>
    <xf numFmtId="169" fontId="5" fillId="0" borderId="9" xfId="2" applyNumberFormat="1" applyFont="1" applyBorder="1" applyAlignment="1">
      <alignment horizontal="center" vertical="center" wrapText="1"/>
    </xf>
    <xf numFmtId="169" fontId="5" fillId="0" borderId="5" xfId="2" applyNumberFormat="1" applyFont="1" applyBorder="1" applyAlignment="1">
      <alignment horizontal="center" vertical="center" wrapText="1"/>
    </xf>
    <xf numFmtId="169" fontId="5" fillId="0" borderId="10" xfId="2" applyNumberFormat="1" applyFont="1" applyBorder="1" applyAlignment="1">
      <alignment horizontal="center" vertical="center" wrapText="1"/>
    </xf>
    <xf numFmtId="169" fontId="5" fillId="0" borderId="11" xfId="2" applyNumberFormat="1" applyFont="1" applyBorder="1" applyAlignment="1">
      <alignment horizontal="center" vertical="center" wrapText="1"/>
    </xf>
    <xf numFmtId="169" fontId="5" fillId="0" borderId="0" xfId="2" applyNumberFormat="1" applyFont="1" applyBorder="1" applyAlignment="1">
      <alignment horizontal="center" vertical="center" wrapText="1"/>
    </xf>
    <xf numFmtId="169" fontId="5" fillId="0" borderId="12" xfId="2" applyNumberFormat="1" applyFont="1" applyBorder="1" applyAlignment="1">
      <alignment horizontal="center" vertical="center" wrapText="1"/>
    </xf>
    <xf numFmtId="169" fontId="5" fillId="0" borderId="13" xfId="2" applyNumberFormat="1" applyFont="1" applyBorder="1" applyAlignment="1">
      <alignment horizontal="center" vertical="center" wrapText="1"/>
    </xf>
    <xf numFmtId="169" fontId="5" fillId="0" borderId="1" xfId="2" applyNumberFormat="1" applyFont="1" applyBorder="1" applyAlignment="1">
      <alignment horizontal="center" vertical="center" wrapText="1"/>
    </xf>
    <xf numFmtId="169" fontId="5" fillId="0" borderId="14" xfId="2" applyNumberFormat="1" applyFont="1" applyBorder="1" applyAlignment="1">
      <alignment horizontal="center" vertical="center" wrapText="1"/>
    </xf>
  </cellXfs>
  <cellStyles count="30">
    <cellStyle name="%" xfId="2"/>
    <cellStyle name="% 2" xfId="3"/>
    <cellStyle name="apoyo" xfId="5"/>
    <cellStyle name="assumption" xfId="6"/>
    <cellStyle name="Check" xfId="7"/>
    <cellStyle name="Choose Number" xfId="8"/>
    <cellStyle name="Comma 2" xfId="9"/>
    <cellStyle name="Date long" xfId="10"/>
    <cellStyle name="Date short" xfId="11"/>
    <cellStyle name="Euro" xfId="12"/>
    <cellStyle name="Hardcoded Number" xfId="13"/>
    <cellStyle name="Highlight" xfId="14"/>
    <cellStyle name="Margins" xfId="15"/>
    <cellStyle name="Millares 2" xfId="16"/>
    <cellStyle name="Multiple" xfId="17"/>
    <cellStyle name="Normal" xfId="0" builtinId="0"/>
    <cellStyle name="Normal 2" xfId="18"/>
    <cellStyle name="Normal 3" xfId="19"/>
    <cellStyle name="Normal 4" xfId="20"/>
    <cellStyle name="Normal_CSP Guzman_" xfId="4"/>
    <cellStyle name="Percent 2" xfId="21"/>
    <cellStyle name="Porcentaje" xfId="1" builtinId="5"/>
    <cellStyle name="Porcentaje 2" xfId="22"/>
    <cellStyle name="Porcentaje 3" xfId="23"/>
    <cellStyle name="Porcentaje 3 2" xfId="24"/>
    <cellStyle name="Subtitle" xfId="25"/>
    <cellStyle name="Title" xfId="26"/>
    <cellStyle name="Year" xfId="27"/>
    <cellStyle name="Year Estimates" xfId="28"/>
    <cellStyle name="Year Historicals" xfId="29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39</xdr:row>
      <xdr:rowOff>9525</xdr:rowOff>
    </xdr:from>
    <xdr:to>
      <xdr:col>8</xdr:col>
      <xdr:colOff>30832</xdr:colOff>
      <xdr:row>42</xdr:row>
      <xdr:rowOff>99814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492" t="39920" r="50177" b="52214"/>
        <a:stretch/>
      </xdr:blipFill>
      <xdr:spPr>
        <a:xfrm>
          <a:off x="5343525" y="6324600"/>
          <a:ext cx="2088232" cy="5760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/DOCUME~1/E022368/LOCALS~1/Temp/Directorio%20temporal%201%20para%20Pipeline%20-%20Originales%20Proyecto%20ITAKA.zip/Originales%20Proyecto%20ITAKA/A.%2020121017%20FCC%20Mexico%20Wind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/Documents%20and%20Settings/jgutierrezb/Local%20Settings/Temporary%20Internet%20Files/Content.Outlook/2N4RP18M/38%20Pipeline_rider%20ar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carlosruiz/Documents/VITACAPITAL/FCC-Florida%20Project/Project%20Flor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sh Valuation"/>
      <sheetName val="2. P&amp;L-P90"/>
      <sheetName val="2. P&amp;L-P50"/>
      <sheetName val="3. Balance Sheet P-90"/>
      <sheetName val="P50"/>
      <sheetName val="P75"/>
      <sheetName val="P90"/>
      <sheetName val="O&amp;M"/>
      <sheetName val="3. Balance Sheet P-50"/>
      <sheetName val="Precios Medios CFE"/>
    </sheetNames>
    <sheetDataSet>
      <sheetData sheetId="0">
        <row r="33">
          <cell r="K33">
            <v>0.28999999999999998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ylesheet"/>
      <sheetName val="Disclaimer"/>
      <sheetName val="Assets summary"/>
      <sheetName val="Control"/>
      <sheetName val="Consolidated_Operating_Assets"/>
      <sheetName val="Wind Olivento"/>
      <sheetName val="CSP Enerstar"/>
      <sheetName val="CSP Guzman"/>
      <sheetName val="PV Helios"/>
      <sheetName val="WACC"/>
      <sheetName val="Pipeline"/>
      <sheetName val="Control_Pipeline"/>
      <sheetName val="Mexico --&gt;"/>
      <sheetName val="Backup --&gt;"/>
      <sheetName val="BS Oct 2012"/>
      <sheetName val="Wind Olivento_"/>
      <sheetName val="CSP Guzman_"/>
      <sheetName val="CSP Enerstar_"/>
      <sheetName val="PV Helios_"/>
      <sheetName val="1. Cash Valuation"/>
      <sheetName val="P&amp;L P90"/>
      <sheetName val="P&amp;L P50"/>
      <sheetName val="BS P50"/>
      <sheetName val="Precios medios CFE"/>
      <sheetName val="Sweden --&gt;"/>
      <sheetName val="2. Cash Valuation"/>
      <sheetName val="P&amp;L - Permitted"/>
      <sheetName val="BS - Permitted"/>
      <sheetName val="Chile CSP--&gt;"/>
      <sheetName val="Cash Valuation"/>
      <sheetName val="BS"/>
      <sheetName val="P&amp;L"/>
      <sheetName val="Chile PV--&gt;"/>
      <sheetName val="Cash Valuation PV"/>
      <sheetName val="P&amp;L P90 PV"/>
      <sheetName val="P&amp;L P50 PV"/>
      <sheetName val="BS P50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8">
          <cell r="C68">
            <v>0</v>
          </cell>
        </row>
        <row r="69">
          <cell r="C69">
            <v>0.1</v>
          </cell>
        </row>
        <row r="70">
          <cell r="C70">
            <v>0.1</v>
          </cell>
        </row>
        <row r="72">
          <cell r="O72">
            <v>5.0000000000000001E-4</v>
          </cell>
        </row>
        <row r="73">
          <cell r="O73">
            <v>1.4999999999999999E-2</v>
          </cell>
        </row>
        <row r="74">
          <cell r="G74">
            <v>150</v>
          </cell>
        </row>
        <row r="77">
          <cell r="O77">
            <v>1.4999999999999999E-2</v>
          </cell>
        </row>
        <row r="83">
          <cell r="N83">
            <v>0.1</v>
          </cell>
        </row>
        <row r="140">
          <cell r="C140">
            <v>0.12131362489759769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ylesheet"/>
      <sheetName val="Disclaimer"/>
      <sheetName val="1. Inputs"/>
      <sheetName val="2. Aggregated Results"/>
      <sheetName val="A. Wind Olivento"/>
      <sheetName val="B. CSP Guzman"/>
      <sheetName val="C. CSP Enerstar"/>
      <sheetName val="D. PV Helios"/>
      <sheetName val="Vento1"/>
      <sheetName val="ATOS 1"/>
    </sheetNames>
    <sheetDataSet>
      <sheetData sheetId="0"/>
      <sheetData sheetId="1"/>
      <sheetData sheetId="2"/>
      <sheetData sheetId="3">
        <row r="1047">
          <cell r="E1047">
            <v>2.5000000000000001E-4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4"/>
  <sheetViews>
    <sheetView showGridLines="0" tabSelected="1" topLeftCell="A9" workbookViewId="0">
      <selection activeCell="C43" sqref="C43"/>
    </sheetView>
  </sheetViews>
  <sheetFormatPr baseColWidth="10" defaultColWidth="10.85546875" defaultRowHeight="12.75" x14ac:dyDescent="0.2"/>
  <cols>
    <col min="1" max="1" width="31.85546875" style="3" bestFit="1" customWidth="1"/>
    <col min="2" max="4" width="10.85546875" style="3"/>
    <col min="5" max="6" width="12.140625" style="3" bestFit="1" customWidth="1"/>
    <col min="7" max="8" width="11.140625" style="3" bestFit="1" customWidth="1"/>
    <col min="9" max="9" width="12.140625" style="3" bestFit="1" customWidth="1"/>
    <col min="10" max="10" width="11.140625" style="3" bestFit="1" customWidth="1"/>
    <col min="11" max="11" width="23.42578125" style="3" bestFit="1" customWidth="1"/>
    <col min="12" max="13" width="11.140625" style="3" bestFit="1" customWidth="1"/>
    <col min="14" max="18" width="11.28515625" style="3" bestFit="1" customWidth="1"/>
    <col min="19" max="19" width="11.140625" style="3" bestFit="1" customWidth="1"/>
    <col min="20" max="24" width="11.28515625" style="3" bestFit="1" customWidth="1"/>
    <col min="25" max="16384" width="10.85546875" style="3"/>
  </cols>
  <sheetData>
    <row r="1" spans="1:14" x14ac:dyDescent="0.2">
      <c r="A1" s="1" t="s">
        <v>0</v>
      </c>
      <c r="B1" s="2"/>
      <c r="C1" s="1"/>
      <c r="E1" s="4" t="s">
        <v>1</v>
      </c>
      <c r="F1" s="4"/>
      <c r="G1" s="4"/>
      <c r="H1" s="5"/>
      <c r="I1" s="6">
        <v>41639</v>
      </c>
      <c r="K1" s="4" t="s">
        <v>2</v>
      </c>
      <c r="L1" s="5"/>
      <c r="M1" s="7"/>
      <c r="N1" s="5"/>
    </row>
    <row r="2" spans="1:14" x14ac:dyDescent="0.2">
      <c r="A2" s="8"/>
      <c r="B2" s="9"/>
      <c r="C2" s="10">
        <v>41639</v>
      </c>
      <c r="E2" s="11" t="s">
        <v>3</v>
      </c>
      <c r="F2" s="12"/>
      <c r="G2" s="12"/>
      <c r="H2" s="13"/>
      <c r="I2" s="14"/>
      <c r="K2" s="15" t="s">
        <v>4</v>
      </c>
      <c r="L2" s="16"/>
      <c r="M2" s="17"/>
      <c r="N2" s="10">
        <v>41639</v>
      </c>
    </row>
    <row r="3" spans="1:14" x14ac:dyDescent="0.2">
      <c r="A3" s="18" t="s">
        <v>5</v>
      </c>
      <c r="B3" s="9"/>
      <c r="C3" s="19">
        <v>33175</v>
      </c>
      <c r="E3" s="20" t="s">
        <v>6</v>
      </c>
      <c r="F3" s="21"/>
      <c r="G3" s="21"/>
      <c r="H3" s="22">
        <v>41275</v>
      </c>
      <c r="I3" s="23">
        <f t="shared" ref="I3" si="0">+YEAR(I1)</f>
        <v>2013</v>
      </c>
      <c r="K3" s="24" t="s">
        <v>7</v>
      </c>
      <c r="L3" s="25" t="s">
        <v>8</v>
      </c>
      <c r="M3" s="26"/>
      <c r="N3" s="27">
        <v>463.2</v>
      </c>
    </row>
    <row r="4" spans="1:14" x14ac:dyDescent="0.2">
      <c r="A4" s="18" t="s">
        <v>9</v>
      </c>
      <c r="B4" s="28" t="s">
        <v>10</v>
      </c>
      <c r="C4" s="29">
        <v>7.7000000000000002E-3</v>
      </c>
      <c r="E4" s="20" t="s">
        <v>11</v>
      </c>
      <c r="F4" s="21"/>
      <c r="G4" s="21"/>
      <c r="H4" s="30">
        <v>20</v>
      </c>
      <c r="I4" s="31"/>
      <c r="K4" s="32" t="s">
        <v>12</v>
      </c>
      <c r="L4" s="25" t="s">
        <v>8</v>
      </c>
      <c r="M4" s="26"/>
      <c r="N4" s="33">
        <v>3.07</v>
      </c>
    </row>
    <row r="5" spans="1:14" x14ac:dyDescent="0.2">
      <c r="A5" s="34"/>
      <c r="B5" s="35"/>
      <c r="C5" s="36"/>
      <c r="E5" s="20" t="s">
        <v>13</v>
      </c>
      <c r="F5" s="21"/>
      <c r="G5" s="21"/>
      <c r="H5" s="22">
        <f>EOMONTH(H3,H4*12)</f>
        <v>48610</v>
      </c>
      <c r="I5" s="31"/>
      <c r="K5" s="32" t="s">
        <v>14</v>
      </c>
      <c r="L5" s="25" t="s">
        <v>8</v>
      </c>
      <c r="M5" s="26"/>
      <c r="N5" s="37">
        <v>-0.4</v>
      </c>
    </row>
    <row r="6" spans="1:14" x14ac:dyDescent="0.2">
      <c r="A6" s="1" t="s">
        <v>15</v>
      </c>
      <c r="B6" s="2"/>
      <c r="C6" s="1"/>
      <c r="E6" s="38" t="s">
        <v>16</v>
      </c>
      <c r="F6" s="21"/>
      <c r="G6" s="21"/>
      <c r="H6" s="39"/>
      <c r="I6" s="40">
        <f>I35</f>
        <v>33175</v>
      </c>
      <c r="K6" s="41" t="s">
        <v>17</v>
      </c>
      <c r="L6" s="42" t="s">
        <v>8</v>
      </c>
      <c r="M6" s="43"/>
      <c r="N6" s="44">
        <f>+N3+N4+N5</f>
        <v>465.87</v>
      </c>
    </row>
    <row r="7" spans="1:14" x14ac:dyDescent="0.2">
      <c r="A7" s="15"/>
      <c r="B7" s="9"/>
      <c r="C7" s="10">
        <v>41639</v>
      </c>
      <c r="E7" s="45"/>
      <c r="F7" s="20"/>
      <c r="G7" s="20"/>
      <c r="H7" s="46"/>
      <c r="I7" s="47"/>
      <c r="K7" s="15"/>
      <c r="L7" s="16"/>
      <c r="M7" s="17"/>
      <c r="N7" s="48"/>
    </row>
    <row r="8" spans="1:14" x14ac:dyDescent="0.2">
      <c r="A8" s="21" t="s">
        <v>18</v>
      </c>
      <c r="B8" s="9"/>
      <c r="C8" s="49">
        <v>0.02</v>
      </c>
      <c r="E8" s="11" t="s">
        <v>19</v>
      </c>
      <c r="F8" s="12"/>
      <c r="G8" s="12"/>
      <c r="H8" s="13"/>
      <c r="I8" s="14"/>
      <c r="K8" s="15" t="s">
        <v>20</v>
      </c>
      <c r="L8" s="16"/>
      <c r="M8" s="17"/>
      <c r="N8" s="31"/>
    </row>
    <row r="9" spans="1:14" x14ac:dyDescent="0.2">
      <c r="A9" s="15"/>
      <c r="B9" s="9"/>
      <c r="C9" s="48"/>
      <c r="E9" s="20" t="s">
        <v>21</v>
      </c>
      <c r="F9" s="21"/>
      <c r="G9" s="21"/>
      <c r="H9" s="50" t="s">
        <v>10</v>
      </c>
      <c r="I9" s="51">
        <v>5.2950000000000002E-3</v>
      </c>
      <c r="K9" s="21" t="s">
        <v>22</v>
      </c>
      <c r="L9" s="28" t="s">
        <v>8</v>
      </c>
      <c r="M9" s="52"/>
      <c r="N9" s="27">
        <v>465.9</v>
      </c>
    </row>
    <row r="10" spans="1:14" x14ac:dyDescent="0.2">
      <c r="A10" s="11" t="s">
        <v>23</v>
      </c>
      <c r="B10" s="53"/>
      <c r="C10" s="10">
        <v>41639</v>
      </c>
      <c r="E10" s="20" t="s">
        <v>24</v>
      </c>
      <c r="F10" s="21"/>
      <c r="G10" s="21"/>
      <c r="H10" s="50" t="s">
        <v>10</v>
      </c>
      <c r="I10" s="54">
        <v>2.1250000000000002E-2</v>
      </c>
    </row>
    <row r="11" spans="1:14" x14ac:dyDescent="0.2">
      <c r="A11" s="55"/>
      <c r="B11" s="28"/>
      <c r="C11" s="56"/>
      <c r="E11" s="20" t="s">
        <v>25</v>
      </c>
      <c r="F11" s="21"/>
      <c r="G11" s="21"/>
      <c r="H11" s="50" t="s">
        <v>10</v>
      </c>
      <c r="I11" s="57">
        <v>2.8235E-2</v>
      </c>
    </row>
    <row r="12" spans="1:14" x14ac:dyDescent="0.2">
      <c r="A12" s="55" t="s">
        <v>26</v>
      </c>
      <c r="B12" s="25" t="s">
        <v>27</v>
      </c>
      <c r="C12" s="58">
        <v>530.28200000000004</v>
      </c>
      <c r="E12" s="20" t="s">
        <v>28</v>
      </c>
      <c r="F12" s="21"/>
      <c r="G12" s="21"/>
      <c r="H12" s="50" t="s">
        <v>10</v>
      </c>
      <c r="I12" s="59">
        <v>0.8</v>
      </c>
      <c r="K12" s="21" t="s">
        <v>29</v>
      </c>
      <c r="L12" s="50" t="s">
        <v>10</v>
      </c>
      <c r="M12" s="52"/>
      <c r="N12" s="60">
        <v>0.01</v>
      </c>
    </row>
    <row r="13" spans="1:14" x14ac:dyDescent="0.2">
      <c r="A13" s="21" t="s">
        <v>30</v>
      </c>
      <c r="B13" s="25"/>
      <c r="C13" s="61"/>
      <c r="E13" s="45"/>
      <c r="F13" s="15"/>
      <c r="G13" s="15"/>
      <c r="H13" s="50"/>
      <c r="I13" s="62"/>
      <c r="K13" s="32" t="s">
        <v>31</v>
      </c>
      <c r="L13" s="50" t="s">
        <v>10</v>
      </c>
      <c r="M13" s="52"/>
      <c r="N13" s="60">
        <v>5.0000000000000001E-3</v>
      </c>
    </row>
    <row r="14" spans="1:14" x14ac:dyDescent="0.2">
      <c r="A14" s="15"/>
      <c r="B14" s="9"/>
      <c r="C14" s="48"/>
      <c r="E14" s="20" t="s">
        <v>32</v>
      </c>
      <c r="F14" s="63">
        <v>1.25</v>
      </c>
      <c r="G14" s="57">
        <v>2.1000000000000001E-2</v>
      </c>
      <c r="H14" s="50"/>
      <c r="I14" s="59"/>
    </row>
    <row r="15" spans="1:14" x14ac:dyDescent="0.2">
      <c r="A15" s="64" t="s">
        <v>26</v>
      </c>
      <c r="B15" s="25" t="s">
        <v>27</v>
      </c>
      <c r="C15" s="58">
        <v>56.457000000000001</v>
      </c>
      <c r="E15" s="20"/>
      <c r="F15" s="63">
        <v>1.25</v>
      </c>
      <c r="G15" s="57">
        <v>0.02</v>
      </c>
      <c r="H15" s="50"/>
      <c r="I15" s="59"/>
      <c r="K15" s="11" t="s">
        <v>33</v>
      </c>
      <c r="L15" s="65"/>
      <c r="M15" s="66"/>
    </row>
    <row r="16" spans="1:14" x14ac:dyDescent="0.2">
      <c r="A16" s="24" t="s">
        <v>34</v>
      </c>
      <c r="B16" s="25"/>
      <c r="C16" s="61"/>
      <c r="E16" s="20"/>
      <c r="F16" s="63">
        <v>1.4</v>
      </c>
      <c r="G16" s="57">
        <v>1.9E-2</v>
      </c>
      <c r="H16" s="50"/>
      <c r="I16" s="59"/>
      <c r="K16" s="45"/>
      <c r="L16" s="67"/>
      <c r="M16" s="17"/>
    </row>
    <row r="17" spans="1:15" x14ac:dyDescent="0.2">
      <c r="A17" s="68"/>
      <c r="B17" s="69"/>
      <c r="C17" s="69"/>
      <c r="E17" s="20"/>
      <c r="F17" s="21"/>
      <c r="G17" s="21"/>
      <c r="H17" s="50"/>
      <c r="I17" s="59"/>
      <c r="K17" s="20" t="s">
        <v>35</v>
      </c>
      <c r="L17" s="28" t="s">
        <v>36</v>
      </c>
      <c r="M17" s="70">
        <f>O32*O35/100</f>
        <v>75.265966523999992</v>
      </c>
    </row>
    <row r="18" spans="1:15" x14ac:dyDescent="0.2">
      <c r="A18" s="55" t="s">
        <v>26</v>
      </c>
      <c r="B18" s="25" t="s">
        <v>27</v>
      </c>
      <c r="C18" s="58">
        <v>95.903000000000006</v>
      </c>
      <c r="E18" s="20" t="s">
        <v>37</v>
      </c>
      <c r="F18" s="21"/>
      <c r="G18" s="21"/>
      <c r="H18" s="50" t="s">
        <v>38</v>
      </c>
      <c r="I18" s="59"/>
      <c r="K18" s="20"/>
      <c r="L18" s="28"/>
      <c r="M18" s="71"/>
    </row>
    <row r="19" spans="1:15" x14ac:dyDescent="0.2">
      <c r="A19" s="21" t="s">
        <v>39</v>
      </c>
      <c r="B19" s="25"/>
      <c r="C19" s="61"/>
      <c r="E19" s="20" t="s">
        <v>40</v>
      </c>
      <c r="F19" s="21"/>
      <c r="G19" s="21"/>
      <c r="H19" s="50" t="s">
        <v>10</v>
      </c>
      <c r="I19" s="29">
        <v>2.1000000000000001E-2</v>
      </c>
      <c r="K19" s="41"/>
      <c r="L19" s="42"/>
      <c r="M19" s="43"/>
    </row>
    <row r="20" spans="1:15" x14ac:dyDescent="0.2">
      <c r="A20" s="68"/>
      <c r="B20" s="69"/>
      <c r="C20" s="69"/>
      <c r="E20" s="20" t="s">
        <v>41</v>
      </c>
      <c r="F20" s="21"/>
      <c r="G20" s="21"/>
      <c r="H20" s="50"/>
      <c r="I20" s="72">
        <f>+'[3]1. Inputs'!$E$1047</f>
        <v>2.5000000000000001E-4</v>
      </c>
      <c r="K20" s="73"/>
      <c r="L20" s="74"/>
      <c r="M20" s="17"/>
    </row>
    <row r="21" spans="1:15" x14ac:dyDescent="0.2">
      <c r="A21" s="55" t="s">
        <v>26</v>
      </c>
      <c r="B21" s="25" t="s">
        <v>27</v>
      </c>
      <c r="C21" s="58">
        <v>39.945749999999997</v>
      </c>
      <c r="E21" s="20"/>
      <c r="F21" s="21"/>
      <c r="G21" s="21"/>
      <c r="H21" s="50"/>
      <c r="I21" s="51"/>
      <c r="K21" s="12"/>
      <c r="L21" s="75"/>
      <c r="M21" s="66"/>
    </row>
    <row r="22" spans="1:15" x14ac:dyDescent="0.2">
      <c r="A22" s="21" t="s">
        <v>42</v>
      </c>
      <c r="B22" s="25"/>
      <c r="C22" s="61"/>
      <c r="E22" s="20" t="s">
        <v>43</v>
      </c>
      <c r="F22" s="21"/>
      <c r="G22" s="21"/>
      <c r="H22" s="50" t="s">
        <v>44</v>
      </c>
      <c r="I22" s="76">
        <v>0.5</v>
      </c>
      <c r="K22" s="21"/>
      <c r="L22" s="28"/>
      <c r="M22" s="52"/>
    </row>
    <row r="23" spans="1:15" x14ac:dyDescent="0.2">
      <c r="A23" s="55"/>
      <c r="B23" s="28"/>
      <c r="C23" s="77"/>
      <c r="E23" s="20"/>
      <c r="F23" s="21"/>
      <c r="G23" s="21"/>
      <c r="H23" s="50"/>
      <c r="I23" s="76"/>
      <c r="K23" s="20" t="s">
        <v>45</v>
      </c>
      <c r="L23" s="28" t="s">
        <v>10</v>
      </c>
      <c r="M23" s="78">
        <v>0.8</v>
      </c>
    </row>
    <row r="24" spans="1:15" x14ac:dyDescent="0.2">
      <c r="A24" s="55" t="s">
        <v>26</v>
      </c>
      <c r="B24" s="25" t="s">
        <v>27</v>
      </c>
      <c r="C24" s="58">
        <v>36.832999999999998</v>
      </c>
      <c r="E24" s="20" t="s">
        <v>46</v>
      </c>
      <c r="F24" s="21"/>
      <c r="G24" s="21"/>
      <c r="H24" s="50" t="s">
        <v>38</v>
      </c>
      <c r="I24" s="79">
        <v>1.1499999999999999</v>
      </c>
      <c r="K24" s="20" t="s">
        <v>47</v>
      </c>
      <c r="L24" s="28" t="s">
        <v>10</v>
      </c>
      <c r="M24" s="78">
        <v>2.8235E-2</v>
      </c>
    </row>
    <row r="25" spans="1:15" x14ac:dyDescent="0.2">
      <c r="A25" s="21" t="s">
        <v>48</v>
      </c>
      <c r="B25" s="25"/>
      <c r="C25" s="61"/>
      <c r="E25" s="20"/>
      <c r="F25" s="21"/>
      <c r="G25" s="21"/>
      <c r="H25" s="50"/>
      <c r="I25" s="79"/>
      <c r="K25" s="20"/>
      <c r="L25" s="28"/>
      <c r="M25" s="80"/>
    </row>
    <row r="26" spans="1:15" x14ac:dyDescent="0.2">
      <c r="A26" s="55"/>
      <c r="B26" s="28"/>
      <c r="C26" s="77"/>
      <c r="E26" s="11" t="s">
        <v>49</v>
      </c>
      <c r="F26" s="12"/>
      <c r="G26" s="12"/>
      <c r="H26" s="13"/>
      <c r="I26" s="14"/>
      <c r="K26" s="20"/>
      <c r="L26" s="28"/>
      <c r="M26" s="80"/>
    </row>
    <row r="27" spans="1:15" x14ac:dyDescent="0.2">
      <c r="A27" s="55" t="s">
        <v>26</v>
      </c>
      <c r="B27" s="25" t="s">
        <v>27</v>
      </c>
      <c r="C27" s="58">
        <v>38.295999999999999</v>
      </c>
      <c r="E27" s="20" t="s">
        <v>50</v>
      </c>
      <c r="F27" s="21"/>
      <c r="G27" s="21"/>
      <c r="H27" s="50" t="s">
        <v>10</v>
      </c>
      <c r="I27" s="59">
        <v>0.3</v>
      </c>
      <c r="K27" s="20" t="s">
        <v>51</v>
      </c>
      <c r="L27" s="21"/>
      <c r="M27" s="21"/>
      <c r="N27" s="50" t="s">
        <v>52</v>
      </c>
      <c r="O27" s="59">
        <v>0.2</v>
      </c>
    </row>
    <row r="28" spans="1:15" x14ac:dyDescent="0.2">
      <c r="A28" s="21" t="s">
        <v>53</v>
      </c>
      <c r="B28" s="25"/>
      <c r="C28" s="61"/>
      <c r="E28" s="20" t="s">
        <v>54</v>
      </c>
      <c r="F28" s="21"/>
      <c r="G28" s="21"/>
      <c r="H28" s="50" t="s">
        <v>10</v>
      </c>
      <c r="I28" s="59">
        <v>1</v>
      </c>
      <c r="K28" s="20" t="s">
        <v>55</v>
      </c>
      <c r="L28" s="21"/>
      <c r="M28" s="21"/>
      <c r="N28" s="50" t="s">
        <v>56</v>
      </c>
      <c r="O28" s="59">
        <v>0.1</v>
      </c>
    </row>
    <row r="29" spans="1:15" x14ac:dyDescent="0.2">
      <c r="A29" s="55"/>
      <c r="B29" s="28"/>
      <c r="C29" s="77"/>
      <c r="E29" s="20" t="s">
        <v>51</v>
      </c>
      <c r="F29" s="21"/>
      <c r="G29" s="21"/>
      <c r="H29" s="50" t="s">
        <v>52</v>
      </c>
      <c r="I29" s="59">
        <v>0.2</v>
      </c>
      <c r="K29" s="20" t="s">
        <v>54</v>
      </c>
      <c r="L29" s="21"/>
      <c r="M29" s="21"/>
      <c r="N29" s="50" t="s">
        <v>10</v>
      </c>
      <c r="O29" s="59">
        <v>1</v>
      </c>
    </row>
    <row r="30" spans="1:15" x14ac:dyDescent="0.2">
      <c r="A30" s="55" t="s">
        <v>26</v>
      </c>
      <c r="B30" s="25" t="s">
        <v>27</v>
      </c>
      <c r="C30" s="58">
        <v>11.513500000000001</v>
      </c>
      <c r="E30" s="20" t="s">
        <v>55</v>
      </c>
      <c r="F30" s="21"/>
      <c r="G30" s="21"/>
      <c r="H30" s="50" t="s">
        <v>56</v>
      </c>
      <c r="I30" s="59">
        <v>0.1</v>
      </c>
      <c r="K30" s="81" t="s">
        <v>57</v>
      </c>
      <c r="L30" s="41"/>
      <c r="M30" s="41"/>
      <c r="N30" s="82" t="s">
        <v>36</v>
      </c>
      <c r="O30" s="83">
        <v>84.39862020999999</v>
      </c>
    </row>
    <row r="31" spans="1:15" x14ac:dyDescent="0.2">
      <c r="A31" s="21" t="s">
        <v>58</v>
      </c>
      <c r="B31" s="25"/>
      <c r="C31" s="61"/>
      <c r="E31" s="20"/>
      <c r="F31" s="21"/>
      <c r="G31" s="21"/>
      <c r="H31" s="31"/>
      <c r="I31" s="31"/>
      <c r="K31" s="81" t="s">
        <v>59</v>
      </c>
      <c r="L31" s="41"/>
      <c r="M31" s="41"/>
      <c r="N31" s="82" t="s">
        <v>36</v>
      </c>
      <c r="O31" s="83">
        <v>23.124189110000003</v>
      </c>
    </row>
    <row r="32" spans="1:15" x14ac:dyDescent="0.2">
      <c r="A32" s="84"/>
      <c r="B32" s="85"/>
      <c r="C32" s="86"/>
      <c r="E32" s="4" t="s">
        <v>60</v>
      </c>
      <c r="F32" s="4"/>
      <c r="G32" s="4"/>
      <c r="H32" s="5"/>
      <c r="I32" s="6">
        <f>+I$3</f>
        <v>2013</v>
      </c>
      <c r="K32" s="87" t="s">
        <v>61</v>
      </c>
      <c r="L32" s="12"/>
      <c r="M32" s="12"/>
      <c r="N32" s="88" t="s">
        <v>36</v>
      </c>
      <c r="O32" s="89">
        <f>O31+O30</f>
        <v>107.52280931999999</v>
      </c>
    </row>
    <row r="33" spans="1:15" x14ac:dyDescent="0.2">
      <c r="A33" s="55" t="s">
        <v>26</v>
      </c>
      <c r="B33" s="25" t="s">
        <v>27</v>
      </c>
      <c r="C33" s="58">
        <v>3.3315000000000001</v>
      </c>
      <c r="E33" s="20"/>
      <c r="F33" s="21"/>
      <c r="G33" s="21"/>
      <c r="H33" s="31"/>
      <c r="I33" s="31"/>
      <c r="K33" s="62"/>
      <c r="L33" s="21"/>
      <c r="M33" s="21"/>
      <c r="N33" s="50"/>
      <c r="O33" s="39"/>
    </row>
    <row r="34" spans="1:15" x14ac:dyDescent="0.2">
      <c r="A34" s="21" t="s">
        <v>62</v>
      </c>
      <c r="B34" s="25"/>
      <c r="C34" s="61"/>
      <c r="E34" s="21" t="s">
        <v>63</v>
      </c>
      <c r="F34" s="90" t="str">
        <f>IF(G34=1,"Fixed Tariff","Pool")</f>
        <v>Fixed Tariff</v>
      </c>
      <c r="G34" s="91">
        <v>1</v>
      </c>
      <c r="H34" s="50" t="s">
        <v>8</v>
      </c>
      <c r="I34" s="39">
        <f>N9</f>
        <v>465.9</v>
      </c>
      <c r="K34" s="81" t="s">
        <v>64</v>
      </c>
      <c r="L34" s="41"/>
      <c r="M34" s="41"/>
      <c r="N34" s="82" t="s">
        <v>10</v>
      </c>
      <c r="O34" s="83">
        <v>30</v>
      </c>
    </row>
    <row r="35" spans="1:15" x14ac:dyDescent="0.2">
      <c r="A35" s="55"/>
      <c r="B35" s="28"/>
      <c r="C35" s="77"/>
      <c r="E35" s="21" t="s">
        <v>65</v>
      </c>
      <c r="F35" s="21"/>
      <c r="G35" s="21"/>
      <c r="H35" s="50" t="s">
        <v>66</v>
      </c>
      <c r="I35" s="40">
        <f>C3</f>
        <v>33175</v>
      </c>
      <c r="K35" s="92" t="s">
        <v>67</v>
      </c>
      <c r="L35" s="20"/>
      <c r="M35" s="20"/>
      <c r="N35" s="93" t="s">
        <v>10</v>
      </c>
      <c r="O35" s="94">
        <v>70</v>
      </c>
    </row>
    <row r="36" spans="1:15" x14ac:dyDescent="0.2">
      <c r="A36" s="55" t="s">
        <v>26</v>
      </c>
      <c r="B36" s="25" t="s">
        <v>27</v>
      </c>
      <c r="C36" s="58">
        <v>13.502311199999999</v>
      </c>
      <c r="E36" s="15" t="s">
        <v>68</v>
      </c>
      <c r="F36" s="21"/>
      <c r="G36" s="21"/>
      <c r="H36" s="50" t="s">
        <v>36</v>
      </c>
      <c r="I36" s="95">
        <f>I35*I34</f>
        <v>15456232.5</v>
      </c>
      <c r="K36" s="87"/>
      <c r="L36" s="12"/>
      <c r="M36" s="12"/>
      <c r="N36" s="88"/>
      <c r="O36" s="13"/>
    </row>
    <row r="37" spans="1:15" x14ac:dyDescent="0.2">
      <c r="A37" s="21" t="s">
        <v>69</v>
      </c>
      <c r="B37" s="25"/>
      <c r="C37" s="61"/>
    </row>
    <row r="38" spans="1:15" x14ac:dyDescent="0.2">
      <c r="A38" s="68"/>
      <c r="B38" s="69"/>
      <c r="C38" s="69"/>
    </row>
    <row r="39" spans="1:15" x14ac:dyDescent="0.2">
      <c r="A39" s="55" t="s">
        <v>26</v>
      </c>
      <c r="B39" s="25" t="s">
        <v>27</v>
      </c>
      <c r="C39" s="58">
        <v>12.5</v>
      </c>
    </row>
    <row r="40" spans="1:15" x14ac:dyDescent="0.2">
      <c r="A40" s="21" t="s">
        <v>70</v>
      </c>
      <c r="B40" s="25"/>
      <c r="C40" s="61"/>
    </row>
    <row r="41" spans="1:15" x14ac:dyDescent="0.2">
      <c r="A41" s="55"/>
      <c r="B41" s="28"/>
      <c r="C41" s="77"/>
    </row>
    <row r="42" spans="1:15" x14ac:dyDescent="0.2">
      <c r="A42" s="55" t="s">
        <v>26</v>
      </c>
      <c r="B42" s="25" t="s">
        <v>27</v>
      </c>
      <c r="C42" s="58">
        <v>3.8250000000000002</v>
      </c>
    </row>
    <row r="43" spans="1:15" x14ac:dyDescent="0.2">
      <c r="A43" s="21" t="s">
        <v>71</v>
      </c>
      <c r="B43" s="25"/>
      <c r="C43" s="61"/>
    </row>
    <row r="44" spans="1:15" x14ac:dyDescent="0.2">
      <c r="A44" s="55"/>
      <c r="B44" s="28"/>
      <c r="C44" s="77"/>
    </row>
    <row r="45" spans="1:15" x14ac:dyDescent="0.2">
      <c r="A45" s="11" t="s">
        <v>72</v>
      </c>
      <c r="B45" s="53"/>
      <c r="C45" s="10">
        <v>41639</v>
      </c>
    </row>
    <row r="46" spans="1:15" x14ac:dyDescent="0.2">
      <c r="A46" s="55" t="s">
        <v>73</v>
      </c>
      <c r="B46" s="28" t="s">
        <v>74</v>
      </c>
      <c r="C46" s="96">
        <v>0.5</v>
      </c>
    </row>
    <row r="47" spans="1:15" x14ac:dyDescent="0.2">
      <c r="A47" s="41" t="s">
        <v>73</v>
      </c>
      <c r="B47" s="42" t="s">
        <v>75</v>
      </c>
      <c r="C47" s="97">
        <f>C46/1000</f>
        <v>5.0000000000000001E-4</v>
      </c>
    </row>
    <row r="48" spans="1:15" x14ac:dyDescent="0.2">
      <c r="A48" s="98"/>
      <c r="B48" s="28"/>
      <c r="C48" s="28"/>
    </row>
    <row r="49" spans="1:24" x14ac:dyDescent="0.2">
      <c r="A49" s="21" t="s">
        <v>76</v>
      </c>
      <c r="B49" s="28" t="s">
        <v>77</v>
      </c>
      <c r="C49" s="99">
        <v>7.0000000000000007E-2</v>
      </c>
    </row>
    <row r="50" spans="1:24" x14ac:dyDescent="0.2">
      <c r="A50" s="55" t="s">
        <v>26</v>
      </c>
      <c r="B50" s="25" t="s">
        <v>74</v>
      </c>
      <c r="C50" s="100">
        <v>0.7</v>
      </c>
    </row>
    <row r="51" spans="1:24" x14ac:dyDescent="0.2">
      <c r="A51" s="21" t="s">
        <v>78</v>
      </c>
      <c r="B51" s="25" t="s">
        <v>74</v>
      </c>
      <c r="C51" s="61">
        <f>+C50</f>
        <v>0.7</v>
      </c>
    </row>
    <row r="52" spans="1:24" x14ac:dyDescent="0.2">
      <c r="E52" s="101">
        <v>1</v>
      </c>
      <c r="F52" s="101">
        <v>2</v>
      </c>
      <c r="G52" s="101">
        <v>3</v>
      </c>
      <c r="H52" s="101">
        <v>4</v>
      </c>
      <c r="I52" s="101">
        <v>5</v>
      </c>
      <c r="J52" s="101">
        <v>6</v>
      </c>
      <c r="K52" s="101">
        <v>7</v>
      </c>
      <c r="L52" s="101">
        <v>8</v>
      </c>
      <c r="M52" s="101">
        <v>9</v>
      </c>
      <c r="N52" s="101">
        <v>10</v>
      </c>
      <c r="O52" s="101">
        <v>11</v>
      </c>
      <c r="P52" s="101">
        <v>12</v>
      </c>
      <c r="Q52" s="101">
        <v>13</v>
      </c>
      <c r="R52" s="101">
        <v>14</v>
      </c>
      <c r="S52" s="101">
        <v>15</v>
      </c>
      <c r="T52" s="101">
        <v>16</v>
      </c>
      <c r="U52" s="101">
        <v>17</v>
      </c>
      <c r="V52" s="101">
        <v>18</v>
      </c>
      <c r="W52" s="101">
        <v>19</v>
      </c>
      <c r="X52" s="101">
        <v>20</v>
      </c>
    </row>
    <row r="53" spans="1:24" x14ac:dyDescent="0.2">
      <c r="A53" s="4" t="s">
        <v>79</v>
      </c>
      <c r="B53" s="4"/>
      <c r="C53" s="4"/>
      <c r="D53" s="5"/>
      <c r="E53" s="6">
        <v>41609</v>
      </c>
      <c r="F53" s="6">
        <v>41974</v>
      </c>
      <c r="G53" s="6">
        <v>42339</v>
      </c>
      <c r="H53" s="6">
        <v>42705</v>
      </c>
      <c r="I53" s="6">
        <v>43070</v>
      </c>
      <c r="J53" s="6">
        <v>43435</v>
      </c>
      <c r="K53" s="6">
        <v>43800</v>
      </c>
      <c r="L53" s="6">
        <v>44166</v>
      </c>
      <c r="M53" s="6">
        <v>44531</v>
      </c>
      <c r="N53" s="6">
        <v>44896</v>
      </c>
      <c r="O53" s="6">
        <v>45261</v>
      </c>
      <c r="P53" s="6">
        <v>45627</v>
      </c>
      <c r="Q53" s="6">
        <v>45992</v>
      </c>
      <c r="R53" s="6">
        <v>46357</v>
      </c>
      <c r="S53" s="6">
        <v>46722</v>
      </c>
      <c r="T53" s="6">
        <v>47088</v>
      </c>
      <c r="U53" s="6">
        <v>47453</v>
      </c>
      <c r="V53" s="6">
        <v>47818</v>
      </c>
      <c r="W53" s="6">
        <v>48183</v>
      </c>
      <c r="X53" s="6">
        <v>48549</v>
      </c>
    </row>
    <row r="54" spans="1:24" x14ac:dyDescent="0.2">
      <c r="A54" s="21" t="s">
        <v>65</v>
      </c>
      <c r="B54" s="21"/>
      <c r="C54" s="21"/>
      <c r="D54" s="50" t="s">
        <v>66</v>
      </c>
      <c r="E54" s="102">
        <f>I35*(1-C4)</f>
        <v>32919.552499999998</v>
      </c>
      <c r="F54" s="102">
        <f>E54*(1-$C$4)</f>
        <v>32666.071945749998</v>
      </c>
      <c r="G54" s="102">
        <f t="shared" ref="G54:X54" si="1">F54*(1-$C$4)</f>
        <v>32414.543191767723</v>
      </c>
      <c r="H54" s="102">
        <f t="shared" si="1"/>
        <v>32164.951209191109</v>
      </c>
      <c r="I54" s="102">
        <f t="shared" si="1"/>
        <v>31917.281084880335</v>
      </c>
      <c r="J54" s="102">
        <f t="shared" si="1"/>
        <v>31671.518020526753</v>
      </c>
      <c r="K54" s="102">
        <f>J54*(1-$C$4)</f>
        <v>31427.647331768698</v>
      </c>
      <c r="L54" s="102">
        <f t="shared" si="1"/>
        <v>31185.654447314078</v>
      </c>
      <c r="M54" s="102">
        <f t="shared" si="1"/>
        <v>30945.524908069758</v>
      </c>
      <c r="N54" s="102">
        <f>M54*(1-$C$4)</f>
        <v>30707.24436627762</v>
      </c>
      <c r="O54" s="102">
        <f t="shared" si="1"/>
        <v>30470.798584657281</v>
      </c>
      <c r="P54" s="102">
        <f t="shared" si="1"/>
        <v>30236.173435555418</v>
      </c>
      <c r="Q54" s="102">
        <f t="shared" si="1"/>
        <v>30003.35490010164</v>
      </c>
      <c r="R54" s="102">
        <f t="shared" si="1"/>
        <v>29772.329067370854</v>
      </c>
      <c r="S54" s="102">
        <f t="shared" si="1"/>
        <v>29543.082133552096</v>
      </c>
      <c r="T54" s="102">
        <f t="shared" si="1"/>
        <v>29315.600401123742</v>
      </c>
      <c r="U54" s="102">
        <f t="shared" si="1"/>
        <v>29089.870278035087</v>
      </c>
      <c r="V54" s="102">
        <f t="shared" si="1"/>
        <v>28865.878276894215</v>
      </c>
      <c r="W54" s="102">
        <f t="shared" si="1"/>
        <v>28643.611014162128</v>
      </c>
      <c r="X54" s="102">
        <f t="shared" si="1"/>
        <v>28423.055209353079</v>
      </c>
    </row>
    <row r="55" spans="1:24" x14ac:dyDescent="0.2">
      <c r="A55" s="21" t="s">
        <v>63</v>
      </c>
      <c r="B55" s="21"/>
      <c r="C55" s="21"/>
      <c r="D55" s="50" t="s">
        <v>8</v>
      </c>
      <c r="E55" s="103">
        <f>I34</f>
        <v>465.9</v>
      </c>
      <c r="F55" s="103">
        <f>E55*(1+$N$12-$N$13)</f>
        <v>468.22950000000003</v>
      </c>
      <c r="G55" s="103">
        <f t="shared" ref="G55:X55" si="2">F55*(1+$N$12-$N$13)</f>
        <v>470.57064750000006</v>
      </c>
      <c r="H55" s="103">
        <f t="shared" si="2"/>
        <v>472.92350073750009</v>
      </c>
      <c r="I55" s="103">
        <f t="shared" si="2"/>
        <v>475.28811824118765</v>
      </c>
      <c r="J55" s="103">
        <f t="shared" si="2"/>
        <v>477.66455883239365</v>
      </c>
      <c r="K55" s="103">
        <f>J55*(1+$N$12-$N$13)</f>
        <v>480.05288162655569</v>
      </c>
      <c r="L55" s="103">
        <f t="shared" si="2"/>
        <v>482.45314603468853</v>
      </c>
      <c r="M55" s="103">
        <f t="shared" si="2"/>
        <v>484.86541176486202</v>
      </c>
      <c r="N55" s="103">
        <f>M55*(1+$N$12-$N$13)</f>
        <v>487.28973882368638</v>
      </c>
      <c r="O55" s="103">
        <f t="shared" si="2"/>
        <v>489.72618751780487</v>
      </c>
      <c r="P55" s="103">
        <f t="shared" si="2"/>
        <v>492.17481845539396</v>
      </c>
      <c r="Q55" s="103">
        <f t="shared" si="2"/>
        <v>494.635692547671</v>
      </c>
      <c r="R55" s="103">
        <f t="shared" si="2"/>
        <v>497.10887101040942</v>
      </c>
      <c r="S55" s="103">
        <f t="shared" si="2"/>
        <v>499.59441536546154</v>
      </c>
      <c r="T55" s="103">
        <f t="shared" si="2"/>
        <v>502.0923874422889</v>
      </c>
      <c r="U55" s="103">
        <f t="shared" si="2"/>
        <v>504.60284937950041</v>
      </c>
      <c r="V55" s="103">
        <f t="shared" si="2"/>
        <v>507.12586362639797</v>
      </c>
      <c r="W55" s="103">
        <f t="shared" si="2"/>
        <v>509.66149294453004</v>
      </c>
      <c r="X55" s="103">
        <f t="shared" si="2"/>
        <v>512.20980040925269</v>
      </c>
    </row>
    <row r="56" spans="1:24" x14ac:dyDescent="0.2">
      <c r="A56" s="104" t="s">
        <v>80</v>
      </c>
      <c r="B56" s="105"/>
      <c r="C56" s="105"/>
      <c r="D56" s="106"/>
      <c r="E56" s="107">
        <f>E54*I34</f>
        <v>15337219.509749997</v>
      </c>
      <c r="F56" s="107">
        <f>F55*F54</f>
        <v>15295218.534122549</v>
      </c>
      <c r="G56" s="107">
        <f t="shared" ref="G56:X56" si="3">G55*G54</f>
        <v>15253332.578166855</v>
      </c>
      <c r="H56" s="107">
        <f t="shared" si="3"/>
        <v>15211561.326901546</v>
      </c>
      <c r="I56" s="107">
        <f t="shared" si="3"/>
        <v>15169904.466207827</v>
      </c>
      <c r="J56" s="107">
        <f t="shared" si="3"/>
        <v>15128361.682827117</v>
      </c>
      <c r="K56" s="107">
        <f t="shared" si="3"/>
        <v>15086932.664358698</v>
      </c>
      <c r="L56" s="107">
        <f t="shared" si="3"/>
        <v>15045617.099257354</v>
      </c>
      <c r="M56" s="107">
        <f t="shared" si="3"/>
        <v>15004414.676831037</v>
      </c>
      <c r="N56" s="107">
        <f t="shared" si="3"/>
        <v>14963325.087238537</v>
      </c>
      <c r="O56" s="107">
        <f t="shared" si="3"/>
        <v>14922348.021487135</v>
      </c>
      <c r="P56" s="107">
        <f t="shared" si="3"/>
        <v>14881483.171430293</v>
      </c>
      <c r="Q56" s="107">
        <f t="shared" si="3"/>
        <v>14840730.229765333</v>
      </c>
      <c r="R56" s="107">
        <f t="shared" si="3"/>
        <v>14800088.890031122</v>
      </c>
      <c r="S56" s="107">
        <f t="shared" si="3"/>
        <v>14759558.846605772</v>
      </c>
      <c r="T56" s="107">
        <f t="shared" si="3"/>
        <v>14719139.794704342</v>
      </c>
      <c r="U56" s="107">
        <f t="shared" si="3"/>
        <v>14678831.430376545</v>
      </c>
      <c r="V56" s="107">
        <f t="shared" si="3"/>
        <v>14638633.450504459</v>
      </c>
      <c r="W56" s="107">
        <f t="shared" si="3"/>
        <v>14598545.552800255</v>
      </c>
      <c r="X56" s="107">
        <f t="shared" si="3"/>
        <v>14558567.435803911</v>
      </c>
    </row>
    <row r="57" spans="1:24" x14ac:dyDescent="0.2">
      <c r="A57" s="15" t="s">
        <v>81</v>
      </c>
      <c r="B57" s="21"/>
      <c r="C57" s="21"/>
      <c r="D57" s="50" t="s">
        <v>82</v>
      </c>
      <c r="E57" s="95">
        <f>+E58+E70</f>
        <v>-1955497.8898825003</v>
      </c>
      <c r="F57" s="95">
        <f t="shared" ref="F57:X57" si="4">+F58+F70</f>
        <v>-1969101.4261474791</v>
      </c>
      <c r="G57" s="95">
        <f t="shared" si="4"/>
        <v>-1983052.3115742812</v>
      </c>
      <c r="H57" s="95">
        <f t="shared" si="4"/>
        <v>-1997357.2451920672</v>
      </c>
      <c r="I57" s="95">
        <f t="shared" si="4"/>
        <v>-2012023.0610114923</v>
      </c>
      <c r="J57" s="95">
        <f t="shared" si="4"/>
        <v>-2027056.7307191207</v>
      </c>
      <c r="K57" s="95">
        <f t="shared" si="4"/>
        <v>-2042465.3664257531</v>
      </c>
      <c r="L57" s="95">
        <f t="shared" si="4"/>
        <v>-2058256.223469764</v>
      </c>
      <c r="M57" s="95">
        <f t="shared" si="4"/>
        <v>-2074436.703276528</v>
      </c>
      <c r="N57" s="95">
        <f t="shared" si="4"/>
        <v>-2091014.356275076</v>
      </c>
      <c r="O57" s="95">
        <f t="shared" si="4"/>
        <v>-2107996.8848731103</v>
      </c>
      <c r="P57" s="95">
        <f t="shared" si="4"/>
        <v>-2125392.1464915574</v>
      </c>
      <c r="Q57" s="95">
        <f t="shared" si="4"/>
        <v>-2143208.1566598415</v>
      </c>
      <c r="R57" s="95">
        <f t="shared" si="4"/>
        <v>-2161453.092173093</v>
      </c>
      <c r="S57" s="95">
        <f t="shared" si="4"/>
        <v>-2180135.2943125367</v>
      </c>
      <c r="T57" s="95">
        <f t="shared" si="4"/>
        <v>-2199263.2721303208</v>
      </c>
      <c r="U57" s="95">
        <f t="shared" si="4"/>
        <v>-2218845.7058000611</v>
      </c>
      <c r="V57" s="95">
        <f t="shared" si="4"/>
        <v>-2238891.4500344479</v>
      </c>
      <c r="W57" s="95">
        <f t="shared" si="4"/>
        <v>-2259409.5375712118</v>
      </c>
      <c r="X57" s="95">
        <f t="shared" si="4"/>
        <v>-2280409.1827288615</v>
      </c>
    </row>
    <row r="58" spans="1:24" x14ac:dyDescent="0.2">
      <c r="A58" s="108" t="s">
        <v>83</v>
      </c>
      <c r="B58" s="11"/>
      <c r="C58" s="11"/>
      <c r="D58" s="88" t="s">
        <v>84</v>
      </c>
      <c r="E58" s="109">
        <f>+SUM(E59:E69)</f>
        <v>-842389.0612</v>
      </c>
      <c r="F58" s="109">
        <f>+SUM(F59:F69)</f>
        <v>-859236.84242400026</v>
      </c>
      <c r="G58" s="109">
        <f t="shared" ref="G58:X58" si="5">+SUM(G59:G69)</f>
        <v>-876421.5792724801</v>
      </c>
      <c r="H58" s="109">
        <f t="shared" si="5"/>
        <v>-893950.01085792959</v>
      </c>
      <c r="I58" s="109">
        <f t="shared" si="5"/>
        <v>-911829.01107508817</v>
      </c>
      <c r="J58" s="109">
        <f t="shared" si="5"/>
        <v>-930065.59129659005</v>
      </c>
      <c r="K58" s="109">
        <f t="shared" si="5"/>
        <v>-948666.9031225217</v>
      </c>
      <c r="L58" s="109">
        <f t="shared" si="5"/>
        <v>-967640.24118497223</v>
      </c>
      <c r="M58" s="109">
        <f t="shared" si="5"/>
        <v>-986993.04600867175</v>
      </c>
      <c r="N58" s="109">
        <f t="shared" si="5"/>
        <v>-1006732.9069288452</v>
      </c>
      <c r="O58" s="109">
        <f t="shared" si="5"/>
        <v>-1026867.565067422</v>
      </c>
      <c r="P58" s="109">
        <f t="shared" si="5"/>
        <v>-1047404.9163687704</v>
      </c>
      <c r="Q58" s="109">
        <f t="shared" si="5"/>
        <v>-1068353.0146961459</v>
      </c>
      <c r="R58" s="109">
        <f t="shared" si="5"/>
        <v>-1089720.074990069</v>
      </c>
      <c r="S58" s="109">
        <f t="shared" si="5"/>
        <v>-1111514.4764898703</v>
      </c>
      <c r="T58" s="109">
        <f t="shared" si="5"/>
        <v>-1133744.766019668</v>
      </c>
      <c r="U58" s="109">
        <f t="shared" si="5"/>
        <v>-1156419.6613400611</v>
      </c>
      <c r="V58" s="109">
        <f t="shared" si="5"/>
        <v>-1179548.0545668625</v>
      </c>
      <c r="W58" s="109">
        <f t="shared" si="5"/>
        <v>-1203139.0156581993</v>
      </c>
      <c r="X58" s="109">
        <f t="shared" si="5"/>
        <v>-1227201.795971364</v>
      </c>
    </row>
    <row r="59" spans="1:24" x14ac:dyDescent="0.2">
      <c r="A59" s="32" t="s">
        <v>85</v>
      </c>
      <c r="B59" s="21"/>
      <c r="C59" s="21"/>
      <c r="D59" s="50" t="s">
        <v>82</v>
      </c>
      <c r="E59" s="40">
        <f>-C12*1000</f>
        <v>-530282</v>
      </c>
      <c r="F59" s="40">
        <f>E59*(1+$C$8)</f>
        <v>-540887.64</v>
      </c>
      <c r="G59" s="40">
        <f t="shared" ref="G59:X69" si="6">F59*(1+$C$8)</f>
        <v>-551705.39280000003</v>
      </c>
      <c r="H59" s="40">
        <f t="shared" si="6"/>
        <v>-562739.50065599999</v>
      </c>
      <c r="I59" s="40">
        <f t="shared" si="6"/>
        <v>-573994.29066912003</v>
      </c>
      <c r="J59" s="40">
        <f t="shared" si="6"/>
        <v>-585474.17648250249</v>
      </c>
      <c r="K59" s="40">
        <f t="shared" ref="K59:K69" si="7">J59*(1+$C$8)</f>
        <v>-597183.66001215251</v>
      </c>
      <c r="L59" s="40">
        <f t="shared" si="6"/>
        <v>-609127.33321239555</v>
      </c>
      <c r="M59" s="40">
        <f t="shared" si="6"/>
        <v>-621309.87987664342</v>
      </c>
      <c r="N59" s="40">
        <f t="shared" ref="N59:N69" si="8">M59*(1+$C$8)</f>
        <v>-633736.0774741763</v>
      </c>
      <c r="O59" s="40">
        <f t="shared" si="6"/>
        <v>-646410.79902365978</v>
      </c>
      <c r="P59" s="40">
        <f t="shared" si="6"/>
        <v>-659339.01500413299</v>
      </c>
      <c r="Q59" s="40">
        <f t="shared" si="6"/>
        <v>-672525.79530421563</v>
      </c>
      <c r="R59" s="40">
        <f t="shared" si="6"/>
        <v>-685976.31121029996</v>
      </c>
      <c r="S59" s="40">
        <f t="shared" si="6"/>
        <v>-699695.83743450593</v>
      </c>
      <c r="T59" s="40">
        <f t="shared" si="6"/>
        <v>-713689.75418319611</v>
      </c>
      <c r="U59" s="40">
        <f t="shared" si="6"/>
        <v>-727963.54926686001</v>
      </c>
      <c r="V59" s="40">
        <f t="shared" si="6"/>
        <v>-742522.82025219721</v>
      </c>
      <c r="W59" s="40">
        <f t="shared" si="6"/>
        <v>-757373.27665724116</v>
      </c>
      <c r="X59" s="40">
        <f t="shared" si="6"/>
        <v>-772520.74219038605</v>
      </c>
    </row>
    <row r="60" spans="1:24" x14ac:dyDescent="0.2">
      <c r="A60" s="32" t="s">
        <v>34</v>
      </c>
      <c r="B60" s="21"/>
      <c r="C60" s="21"/>
      <c r="D60" s="50" t="s">
        <v>82</v>
      </c>
      <c r="E60" s="40">
        <f>-C15*1000</f>
        <v>-56457</v>
      </c>
      <c r="F60" s="40">
        <f t="shared" ref="F60:U69" si="9">E60*(1+$C$8)</f>
        <v>-57586.14</v>
      </c>
      <c r="G60" s="40">
        <f t="shared" si="9"/>
        <v>-58737.862800000003</v>
      </c>
      <c r="H60" s="40">
        <f t="shared" si="9"/>
        <v>-59912.620056000007</v>
      </c>
      <c r="I60" s="40">
        <f t="shared" si="9"/>
        <v>-61110.872457120007</v>
      </c>
      <c r="J60" s="40">
        <f t="shared" si="9"/>
        <v>-62333.089906262408</v>
      </c>
      <c r="K60" s="40">
        <f t="shared" si="7"/>
        <v>-63579.751704387658</v>
      </c>
      <c r="L60" s="40">
        <f t="shared" si="9"/>
        <v>-64851.346738475411</v>
      </c>
      <c r="M60" s="40">
        <f t="shared" si="9"/>
        <v>-66148.373673244918</v>
      </c>
      <c r="N60" s="40">
        <f t="shared" si="8"/>
        <v>-67471.341146709819</v>
      </c>
      <c r="O60" s="40">
        <f t="shared" si="9"/>
        <v>-68820.767969644017</v>
      </c>
      <c r="P60" s="40">
        <f t="shared" si="9"/>
        <v>-70197.183329036896</v>
      </c>
      <c r="Q60" s="40">
        <f t="shared" si="9"/>
        <v>-71601.12699561764</v>
      </c>
      <c r="R60" s="40">
        <f t="shared" si="9"/>
        <v>-73033.149535529999</v>
      </c>
      <c r="S60" s="40">
        <f t="shared" si="9"/>
        <v>-74493.812526240596</v>
      </c>
      <c r="T60" s="40">
        <f t="shared" si="9"/>
        <v>-75983.688776765412</v>
      </c>
      <c r="U60" s="40">
        <f t="shared" si="9"/>
        <v>-77503.362552300721</v>
      </c>
      <c r="V60" s="40">
        <f t="shared" si="6"/>
        <v>-79053.429803346735</v>
      </c>
      <c r="W60" s="40">
        <f t="shared" si="6"/>
        <v>-80634.498399413671</v>
      </c>
      <c r="X60" s="40">
        <f t="shared" si="6"/>
        <v>-82247.188367401948</v>
      </c>
    </row>
    <row r="61" spans="1:24" x14ac:dyDescent="0.2">
      <c r="A61" s="32" t="s">
        <v>39</v>
      </c>
      <c r="B61" s="21"/>
      <c r="C61" s="21"/>
      <c r="D61" s="50" t="s">
        <v>82</v>
      </c>
      <c r="E61" s="40">
        <f>-C18*1000</f>
        <v>-95903</v>
      </c>
      <c r="F61" s="40">
        <f t="shared" si="9"/>
        <v>-97821.06</v>
      </c>
      <c r="G61" s="40">
        <f t="shared" si="6"/>
        <v>-99777.481199999995</v>
      </c>
      <c r="H61" s="40">
        <f t="shared" si="6"/>
        <v>-101773.030824</v>
      </c>
      <c r="I61" s="40">
        <f t="shared" si="6"/>
        <v>-103808.49144048001</v>
      </c>
      <c r="J61" s="40">
        <f t="shared" si="6"/>
        <v>-105884.66126928962</v>
      </c>
      <c r="K61" s="40">
        <f t="shared" si="7"/>
        <v>-108002.35449467541</v>
      </c>
      <c r="L61" s="40">
        <f t="shared" si="6"/>
        <v>-110162.40158456893</v>
      </c>
      <c r="M61" s="40">
        <f t="shared" si="6"/>
        <v>-112365.64961626031</v>
      </c>
      <c r="N61" s="40">
        <f t="shared" si="8"/>
        <v>-114612.96260858553</v>
      </c>
      <c r="O61" s="40">
        <f t="shared" si="6"/>
        <v>-116905.22186075724</v>
      </c>
      <c r="P61" s="40">
        <f t="shared" si="6"/>
        <v>-119243.32629797239</v>
      </c>
      <c r="Q61" s="40">
        <f t="shared" si="6"/>
        <v>-121628.19282393185</v>
      </c>
      <c r="R61" s="40">
        <f t="shared" si="6"/>
        <v>-124060.75668041049</v>
      </c>
      <c r="S61" s="40">
        <f t="shared" si="6"/>
        <v>-126541.9718140187</v>
      </c>
      <c r="T61" s="40">
        <f t="shared" si="6"/>
        <v>-129072.81125029908</v>
      </c>
      <c r="U61" s="40">
        <f t="shared" si="6"/>
        <v>-131654.26747530507</v>
      </c>
      <c r="V61" s="40">
        <f t="shared" si="6"/>
        <v>-134287.35282481118</v>
      </c>
      <c r="W61" s="40">
        <f t="shared" si="6"/>
        <v>-136973.0998813074</v>
      </c>
      <c r="X61" s="40">
        <f t="shared" si="6"/>
        <v>-139712.56187893354</v>
      </c>
    </row>
    <row r="62" spans="1:24" x14ac:dyDescent="0.2">
      <c r="A62" s="32" t="s">
        <v>42</v>
      </c>
      <c r="B62" s="21"/>
      <c r="C62" s="21"/>
      <c r="D62" s="50" t="s">
        <v>82</v>
      </c>
      <c r="E62" s="40">
        <f>-C21*1000</f>
        <v>-39945.75</v>
      </c>
      <c r="F62" s="40">
        <f t="shared" si="9"/>
        <v>-40744.665000000001</v>
      </c>
      <c r="G62" s="40">
        <f t="shared" si="6"/>
        <v>-41559.558300000004</v>
      </c>
      <c r="H62" s="40">
        <f t="shared" si="6"/>
        <v>-42390.749466000008</v>
      </c>
      <c r="I62" s="40">
        <f t="shared" si="6"/>
        <v>-43238.564455320011</v>
      </c>
      <c r="J62" s="40">
        <f t="shared" si="6"/>
        <v>-44103.335744426411</v>
      </c>
      <c r="K62" s="40">
        <f t="shared" si="7"/>
        <v>-44985.402459314937</v>
      </c>
      <c r="L62" s="40">
        <f t="shared" si="6"/>
        <v>-45885.110508501239</v>
      </c>
      <c r="M62" s="40">
        <f t="shared" si="6"/>
        <v>-46802.812718671266</v>
      </c>
      <c r="N62" s="40">
        <f t="shared" si="8"/>
        <v>-47738.868973044693</v>
      </c>
      <c r="O62" s="40">
        <f t="shared" si="6"/>
        <v>-48693.646352505588</v>
      </c>
      <c r="P62" s="40">
        <f t="shared" si="6"/>
        <v>-49667.519279555701</v>
      </c>
      <c r="Q62" s="40">
        <f t="shared" si="6"/>
        <v>-50660.86966514682</v>
      </c>
      <c r="R62" s="40">
        <f t="shared" si="6"/>
        <v>-51674.087058449761</v>
      </c>
      <c r="S62" s="40">
        <f t="shared" si="6"/>
        <v>-52707.568799618755</v>
      </c>
      <c r="T62" s="40">
        <f t="shared" si="6"/>
        <v>-53761.720175611132</v>
      </c>
      <c r="U62" s="40">
        <f t="shared" si="6"/>
        <v>-54836.954579123354</v>
      </c>
      <c r="V62" s="40">
        <f t="shared" si="6"/>
        <v>-55933.693670705819</v>
      </c>
      <c r="W62" s="40">
        <f t="shared" si="6"/>
        <v>-57052.367544119938</v>
      </c>
      <c r="X62" s="40">
        <f t="shared" si="6"/>
        <v>-58193.414895002337</v>
      </c>
    </row>
    <row r="63" spans="1:24" x14ac:dyDescent="0.2">
      <c r="A63" s="32" t="s">
        <v>48</v>
      </c>
      <c r="B63" s="21"/>
      <c r="C63" s="21"/>
      <c r="D63" s="50" t="s">
        <v>82</v>
      </c>
      <c r="E63" s="40">
        <f>-C24*1000</f>
        <v>-36833</v>
      </c>
      <c r="F63" s="40">
        <f t="shared" si="9"/>
        <v>-37569.660000000003</v>
      </c>
      <c r="G63" s="40">
        <f t="shared" si="6"/>
        <v>-38321.053200000002</v>
      </c>
      <c r="H63" s="40">
        <f t="shared" si="6"/>
        <v>-39087.474264000004</v>
      </c>
      <c r="I63" s="40">
        <f t="shared" si="6"/>
        <v>-39869.223749280005</v>
      </c>
      <c r="J63" s="40">
        <f t="shared" si="6"/>
        <v>-40666.608224265605</v>
      </c>
      <c r="K63" s="40">
        <f t="shared" si="7"/>
        <v>-41479.940388750918</v>
      </c>
      <c r="L63" s="40">
        <f t="shared" si="6"/>
        <v>-42309.53919652594</v>
      </c>
      <c r="M63" s="40">
        <f t="shared" si="6"/>
        <v>-43155.729980456461</v>
      </c>
      <c r="N63" s="40">
        <f t="shared" si="8"/>
        <v>-44018.84458006559</v>
      </c>
      <c r="O63" s="40">
        <f t="shared" si="6"/>
        <v>-44899.221471666904</v>
      </c>
      <c r="P63" s="40">
        <f t="shared" si="6"/>
        <v>-45797.205901100242</v>
      </c>
      <c r="Q63" s="40">
        <f t="shared" si="6"/>
        <v>-46713.150019122251</v>
      </c>
      <c r="R63" s="40">
        <f t="shared" si="6"/>
        <v>-47647.413019504696</v>
      </c>
      <c r="S63" s="40">
        <f t="shared" si="6"/>
        <v>-48600.361279894794</v>
      </c>
      <c r="T63" s="40">
        <f t="shared" si="6"/>
        <v>-49572.36850549269</v>
      </c>
      <c r="U63" s="40">
        <f t="shared" si="6"/>
        <v>-50563.815875602544</v>
      </c>
      <c r="V63" s="40">
        <f t="shared" si="6"/>
        <v>-51575.092193114593</v>
      </c>
      <c r="W63" s="40">
        <f t="shared" si="6"/>
        <v>-52606.594036976887</v>
      </c>
      <c r="X63" s="40">
        <f t="shared" si="6"/>
        <v>-53658.725917716423</v>
      </c>
    </row>
    <row r="64" spans="1:24" x14ac:dyDescent="0.2">
      <c r="A64" s="32" t="s">
        <v>53</v>
      </c>
      <c r="B64" s="21"/>
      <c r="C64" s="21"/>
      <c r="D64" s="50" t="s">
        <v>82</v>
      </c>
      <c r="E64" s="40">
        <f>-C27*1000</f>
        <v>-38296</v>
      </c>
      <c r="F64" s="40">
        <f t="shared" si="9"/>
        <v>-39061.919999999998</v>
      </c>
      <c r="G64" s="40">
        <f t="shared" si="6"/>
        <v>-39843.1584</v>
      </c>
      <c r="H64" s="40">
        <f t="shared" si="6"/>
        <v>-40640.021568000004</v>
      </c>
      <c r="I64" s="40">
        <f t="shared" si="6"/>
        <v>-41452.821999360007</v>
      </c>
      <c r="J64" s="40">
        <f t="shared" si="6"/>
        <v>-42281.878439347209</v>
      </c>
      <c r="K64" s="40">
        <f t="shared" si="7"/>
        <v>-43127.516008134153</v>
      </c>
      <c r="L64" s="40">
        <f t="shared" si="6"/>
        <v>-43990.066328296838</v>
      </c>
      <c r="M64" s="40">
        <f t="shared" si="6"/>
        <v>-44869.867654862777</v>
      </c>
      <c r="N64" s="40">
        <f t="shared" si="8"/>
        <v>-45767.265007960035</v>
      </c>
      <c r="O64" s="40">
        <f t="shared" si="6"/>
        <v>-46682.610308119234</v>
      </c>
      <c r="P64" s="40">
        <f t="shared" si="6"/>
        <v>-47616.262514281618</v>
      </c>
      <c r="Q64" s="40">
        <f t="shared" si="6"/>
        <v>-48568.587764567252</v>
      </c>
      <c r="R64" s="40">
        <f t="shared" si="6"/>
        <v>-49539.959519858596</v>
      </c>
      <c r="S64" s="40">
        <f t="shared" si="6"/>
        <v>-50530.758710255766</v>
      </c>
      <c r="T64" s="40">
        <f t="shared" si="6"/>
        <v>-51541.373884460882</v>
      </c>
      <c r="U64" s="40">
        <f t="shared" si="6"/>
        <v>-52572.201362150103</v>
      </c>
      <c r="V64" s="40">
        <f t="shared" si="6"/>
        <v>-53623.645389393103</v>
      </c>
      <c r="W64" s="40">
        <f t="shared" si="6"/>
        <v>-54696.118297180969</v>
      </c>
      <c r="X64" s="40">
        <f t="shared" si="6"/>
        <v>-55790.040663124586</v>
      </c>
    </row>
    <row r="65" spans="1:24" x14ac:dyDescent="0.2">
      <c r="A65" s="32" t="s">
        <v>58</v>
      </c>
      <c r="B65" s="21"/>
      <c r="C65" s="21"/>
      <c r="D65" s="50" t="s">
        <v>82</v>
      </c>
      <c r="E65" s="40">
        <f>-C30*1000</f>
        <v>-11513.5</v>
      </c>
      <c r="F65" s="40">
        <f t="shared" si="9"/>
        <v>-11743.77</v>
      </c>
      <c r="G65" s="40">
        <f t="shared" si="6"/>
        <v>-11978.645400000001</v>
      </c>
      <c r="H65" s="40">
        <f t="shared" si="6"/>
        <v>-12218.218308000001</v>
      </c>
      <c r="I65" s="40">
        <f t="shared" si="6"/>
        <v>-12462.582674160001</v>
      </c>
      <c r="J65" s="40">
        <f t="shared" si="6"/>
        <v>-12711.834327643202</v>
      </c>
      <c r="K65" s="40">
        <f t="shared" si="7"/>
        <v>-12966.071014196066</v>
      </c>
      <c r="L65" s="40">
        <f t="shared" si="6"/>
        <v>-13225.392434479987</v>
      </c>
      <c r="M65" s="40">
        <f t="shared" si="6"/>
        <v>-13489.900283169587</v>
      </c>
      <c r="N65" s="40">
        <f t="shared" si="8"/>
        <v>-13759.698288832979</v>
      </c>
      <c r="O65" s="40">
        <f t="shared" si="6"/>
        <v>-14034.892254609638</v>
      </c>
      <c r="P65" s="40">
        <f t="shared" si="6"/>
        <v>-14315.590099701831</v>
      </c>
      <c r="Q65" s="40">
        <f t="shared" si="6"/>
        <v>-14601.901901695868</v>
      </c>
      <c r="R65" s="40">
        <f t="shared" si="6"/>
        <v>-14893.939939729786</v>
      </c>
      <c r="S65" s="40">
        <f t="shared" si="6"/>
        <v>-15191.818738524382</v>
      </c>
      <c r="T65" s="40">
        <f t="shared" si="6"/>
        <v>-15495.65511329487</v>
      </c>
      <c r="U65" s="40">
        <f t="shared" si="6"/>
        <v>-15805.568215560768</v>
      </c>
      <c r="V65" s="40">
        <f t="shared" si="6"/>
        <v>-16121.679579871983</v>
      </c>
      <c r="W65" s="40">
        <f t="shared" si="6"/>
        <v>-16444.113171469424</v>
      </c>
      <c r="X65" s="40">
        <f t="shared" si="6"/>
        <v>-16772.995434898814</v>
      </c>
    </row>
    <row r="66" spans="1:24" x14ac:dyDescent="0.2">
      <c r="A66" s="32" t="s">
        <v>62</v>
      </c>
      <c r="B66" s="21"/>
      <c r="C66" s="21"/>
      <c r="D66" s="50" t="s">
        <v>82</v>
      </c>
      <c r="E66" s="40">
        <f>-C33*1000</f>
        <v>-3331.5</v>
      </c>
      <c r="F66" s="40">
        <f t="shared" si="9"/>
        <v>-3398.13</v>
      </c>
      <c r="G66" s="40">
        <f t="shared" si="6"/>
        <v>-3466.0925999999999</v>
      </c>
      <c r="H66" s="40">
        <f t="shared" si="6"/>
        <v>-3535.414452</v>
      </c>
      <c r="I66" s="40">
        <f t="shared" si="6"/>
        <v>-3606.1227410400002</v>
      </c>
      <c r="J66" s="40">
        <f t="shared" si="6"/>
        <v>-3678.2451958608003</v>
      </c>
      <c r="K66" s="40">
        <f t="shared" si="7"/>
        <v>-3751.8100997780166</v>
      </c>
      <c r="L66" s="40">
        <f t="shared" si="6"/>
        <v>-3826.8463017735771</v>
      </c>
      <c r="M66" s="40">
        <f t="shared" si="6"/>
        <v>-3903.3832278090485</v>
      </c>
      <c r="N66" s="40">
        <f t="shared" si="8"/>
        <v>-3981.4508923652297</v>
      </c>
      <c r="O66" s="40">
        <f t="shared" si="6"/>
        <v>-4061.0799102125343</v>
      </c>
      <c r="P66" s="40">
        <f t="shared" si="6"/>
        <v>-4142.3015084167846</v>
      </c>
      <c r="Q66" s="40">
        <f t="shared" si="6"/>
        <v>-4225.1475385851199</v>
      </c>
      <c r="R66" s="40">
        <f t="shared" si="6"/>
        <v>-4309.6504893568226</v>
      </c>
      <c r="S66" s="40">
        <f t="shared" si="6"/>
        <v>-4395.843499143959</v>
      </c>
      <c r="T66" s="40">
        <f t="shared" si="6"/>
        <v>-4483.7603691268387</v>
      </c>
      <c r="U66" s="40">
        <f t="shared" si="6"/>
        <v>-4573.4355765093751</v>
      </c>
      <c r="V66" s="40">
        <f t="shared" si="6"/>
        <v>-4664.9042880395627</v>
      </c>
      <c r="W66" s="40">
        <f t="shared" si="6"/>
        <v>-4758.2023738003545</v>
      </c>
      <c r="X66" s="40">
        <f t="shared" si="6"/>
        <v>-4853.3664212763615</v>
      </c>
    </row>
    <row r="67" spans="1:24" x14ac:dyDescent="0.2">
      <c r="A67" s="32" t="s">
        <v>70</v>
      </c>
      <c r="B67" s="21"/>
      <c r="C67" s="21"/>
      <c r="D67" s="50" t="s">
        <v>82</v>
      </c>
      <c r="E67" s="40">
        <f>-C36*1000</f>
        <v>-13502.3112</v>
      </c>
      <c r="F67" s="40">
        <f t="shared" si="9"/>
        <v>-13772.357424</v>
      </c>
      <c r="G67" s="40">
        <f t="shared" si="6"/>
        <v>-14047.804572479999</v>
      </c>
      <c r="H67" s="40">
        <f t="shared" si="6"/>
        <v>-14328.760663929599</v>
      </c>
      <c r="I67" s="40">
        <f t="shared" si="6"/>
        <v>-14615.335877208192</v>
      </c>
      <c r="J67" s="40">
        <f t="shared" si="6"/>
        <v>-14907.642594752357</v>
      </c>
      <c r="K67" s="40">
        <f t="shared" si="7"/>
        <v>-15205.795446647404</v>
      </c>
      <c r="L67" s="40">
        <f t="shared" si="6"/>
        <v>-15509.911355580352</v>
      </c>
      <c r="M67" s="40">
        <f t="shared" si="6"/>
        <v>-15820.109582691959</v>
      </c>
      <c r="N67" s="40">
        <f t="shared" si="8"/>
        <v>-16136.511774345798</v>
      </c>
      <c r="O67" s="40">
        <f t="shared" si="6"/>
        <v>-16459.242009832713</v>
      </c>
      <c r="P67" s="40">
        <f t="shared" si="6"/>
        <v>-16788.426850029369</v>
      </c>
      <c r="Q67" s="40">
        <f t="shared" si="6"/>
        <v>-17124.195387029959</v>
      </c>
      <c r="R67" s="40">
        <f t="shared" si="6"/>
        <v>-17466.679294770558</v>
      </c>
      <c r="S67" s="40">
        <f t="shared" si="6"/>
        <v>-17816.01288066597</v>
      </c>
      <c r="T67" s="40">
        <f t="shared" si="6"/>
        <v>-18172.333138279289</v>
      </c>
      <c r="U67" s="40">
        <f t="shared" si="6"/>
        <v>-18535.779801044875</v>
      </c>
      <c r="V67" s="40">
        <f t="shared" si="6"/>
        <v>-18906.495397065773</v>
      </c>
      <c r="W67" s="40">
        <f t="shared" si="6"/>
        <v>-19284.625305007088</v>
      </c>
      <c r="X67" s="40">
        <f t="shared" si="6"/>
        <v>-19670.31781110723</v>
      </c>
    </row>
    <row r="68" spans="1:24" x14ac:dyDescent="0.2">
      <c r="A68" s="32" t="s">
        <v>86</v>
      </c>
      <c r="B68" s="21"/>
      <c r="C68" s="21"/>
      <c r="D68" s="50" t="s">
        <v>82</v>
      </c>
      <c r="E68" s="110">
        <f>-C39*1000</f>
        <v>-12500</v>
      </c>
      <c r="F68" s="40">
        <f t="shared" si="9"/>
        <v>-12750</v>
      </c>
      <c r="G68" s="40">
        <f t="shared" si="6"/>
        <v>-13005</v>
      </c>
      <c r="H68" s="40">
        <f t="shared" si="6"/>
        <v>-13265.1</v>
      </c>
      <c r="I68" s="40">
        <f t="shared" si="6"/>
        <v>-13530.402</v>
      </c>
      <c r="J68" s="40">
        <f t="shared" si="6"/>
        <v>-13801.010040000001</v>
      </c>
      <c r="K68" s="40">
        <f t="shared" si="7"/>
        <v>-14077.030240800001</v>
      </c>
      <c r="L68" s="40">
        <f t="shared" si="6"/>
        <v>-14358.570845616001</v>
      </c>
      <c r="M68" s="40">
        <f t="shared" si="6"/>
        <v>-14645.742262528322</v>
      </c>
      <c r="N68" s="40">
        <f t="shared" si="8"/>
        <v>-14938.657107778889</v>
      </c>
      <c r="O68" s="40">
        <f t="shared" si="6"/>
        <v>-15237.430249934467</v>
      </c>
      <c r="P68" s="40">
        <f t="shared" si="6"/>
        <v>-15542.178854933156</v>
      </c>
      <c r="Q68" s="40">
        <f t="shared" si="6"/>
        <v>-15853.022432031819</v>
      </c>
      <c r="R68" s="40">
        <f t="shared" si="6"/>
        <v>-16170.082880672457</v>
      </c>
      <c r="S68" s="40">
        <f t="shared" si="6"/>
        <v>-16493.484538285906</v>
      </c>
      <c r="T68" s="40">
        <f t="shared" si="6"/>
        <v>-16823.354229051623</v>
      </c>
      <c r="U68" s="40">
        <f t="shared" si="6"/>
        <v>-17159.821313632656</v>
      </c>
      <c r="V68" s="40">
        <f t="shared" si="6"/>
        <v>-17503.01773990531</v>
      </c>
      <c r="W68" s="40">
        <f t="shared" si="6"/>
        <v>-17853.078094703418</v>
      </c>
      <c r="X68" s="40">
        <f t="shared" si="6"/>
        <v>-18210.139656597486</v>
      </c>
    </row>
    <row r="69" spans="1:24" x14ac:dyDescent="0.2">
      <c r="A69" s="32" t="s">
        <v>71</v>
      </c>
      <c r="B69" s="21"/>
      <c r="C69" s="21"/>
      <c r="D69" s="50" t="s">
        <v>82</v>
      </c>
      <c r="E69" s="40">
        <f>-C42*1000</f>
        <v>-3825</v>
      </c>
      <c r="F69" s="40">
        <f t="shared" si="9"/>
        <v>-3901.5</v>
      </c>
      <c r="G69" s="40">
        <f t="shared" si="6"/>
        <v>-3979.53</v>
      </c>
      <c r="H69" s="40">
        <f t="shared" si="6"/>
        <v>-4059.1206000000002</v>
      </c>
      <c r="I69" s="40">
        <f t="shared" si="6"/>
        <v>-4140.3030120000003</v>
      </c>
      <c r="J69" s="40">
        <f t="shared" si="6"/>
        <v>-4223.1090722400004</v>
      </c>
      <c r="K69" s="40">
        <f t="shared" si="7"/>
        <v>-4307.5712536848005</v>
      </c>
      <c r="L69" s="40">
        <f t="shared" si="6"/>
        <v>-4393.7226787584968</v>
      </c>
      <c r="M69" s="40">
        <f t="shared" si="6"/>
        <v>-4481.5971323336671</v>
      </c>
      <c r="N69" s="40">
        <f t="shared" si="8"/>
        <v>-4571.2290749803406</v>
      </c>
      <c r="O69" s="40">
        <f t="shared" si="6"/>
        <v>-4662.6536564799471</v>
      </c>
      <c r="P69" s="40">
        <f t="shared" si="6"/>
        <v>-4755.9067296095463</v>
      </c>
      <c r="Q69" s="40">
        <f t="shared" si="6"/>
        <v>-4851.0248642017377</v>
      </c>
      <c r="R69" s="40">
        <f t="shared" si="6"/>
        <v>-4948.0453614857724</v>
      </c>
      <c r="S69" s="40">
        <f t="shared" si="6"/>
        <v>-5047.0062687154877</v>
      </c>
      <c r="T69" s="40">
        <f t="shared" si="6"/>
        <v>-5147.9463940897976</v>
      </c>
      <c r="U69" s="40">
        <f t="shared" si="6"/>
        <v>-5250.9053219715934</v>
      </c>
      <c r="V69" s="40">
        <f t="shared" si="6"/>
        <v>-5355.9234284110253</v>
      </c>
      <c r="W69" s="40">
        <f t="shared" si="6"/>
        <v>-5463.0418969792463</v>
      </c>
      <c r="X69" s="40">
        <f t="shared" si="6"/>
        <v>-5572.3027349188314</v>
      </c>
    </row>
    <row r="70" spans="1:24" x14ac:dyDescent="0.2">
      <c r="A70" s="108" t="s">
        <v>72</v>
      </c>
      <c r="B70" s="11"/>
      <c r="C70" s="11"/>
      <c r="D70" s="88" t="s">
        <v>84</v>
      </c>
      <c r="E70" s="109">
        <f>+SUM(E71:E73)</f>
        <v>-1113108.8286825002</v>
      </c>
      <c r="F70" s="109">
        <f t="shared" ref="F70:X70" si="10">+SUM(F71:F73)</f>
        <v>-1109864.5837234787</v>
      </c>
      <c r="G70" s="109">
        <f t="shared" si="10"/>
        <v>-1106630.7323018012</v>
      </c>
      <c r="H70" s="109">
        <f t="shared" si="10"/>
        <v>-1103407.2343341378</v>
      </c>
      <c r="I70" s="109">
        <f t="shared" si="10"/>
        <v>-1100194.0499364042</v>
      </c>
      <c r="J70" s="109">
        <f t="shared" si="10"/>
        <v>-1096991.1394225305</v>
      </c>
      <c r="K70" s="109">
        <f t="shared" si="10"/>
        <v>-1093798.4633032314</v>
      </c>
      <c r="L70" s="109">
        <f t="shared" si="10"/>
        <v>-1090615.9822847918</v>
      </c>
      <c r="M70" s="109">
        <f t="shared" si="10"/>
        <v>-1087443.6572678564</v>
      </c>
      <c r="N70" s="109">
        <f t="shared" si="10"/>
        <v>-1084281.4493462308</v>
      </c>
      <c r="O70" s="109">
        <f t="shared" si="10"/>
        <v>-1081129.3198056882</v>
      </c>
      <c r="P70" s="109">
        <f t="shared" si="10"/>
        <v>-1077987.2301227872</v>
      </c>
      <c r="Q70" s="109">
        <f t="shared" si="10"/>
        <v>-1074855.1419636954</v>
      </c>
      <c r="R70" s="109">
        <f t="shared" si="10"/>
        <v>-1071733.0171830237</v>
      </c>
      <c r="S70" s="109">
        <f t="shared" si="10"/>
        <v>-1068620.8178226666</v>
      </c>
      <c r="T70" s="109">
        <f t="shared" si="10"/>
        <v>-1065518.5061106526</v>
      </c>
      <c r="U70" s="109">
        <f t="shared" si="10"/>
        <v>-1062426.0444600002</v>
      </c>
      <c r="V70" s="109">
        <f t="shared" si="10"/>
        <v>-1059343.3954675852</v>
      </c>
      <c r="W70" s="109">
        <f t="shared" si="10"/>
        <v>-1056270.5219130125</v>
      </c>
      <c r="X70" s="109">
        <f t="shared" si="10"/>
        <v>-1053207.3867574974</v>
      </c>
    </row>
    <row r="71" spans="1:24" x14ac:dyDescent="0.2">
      <c r="A71" s="32" t="s">
        <v>87</v>
      </c>
      <c r="B71" s="21"/>
      <c r="C71" s="21"/>
      <c r="D71" s="50" t="s">
        <v>84</v>
      </c>
      <c r="E71" s="110">
        <f>-E56*$C$49</f>
        <v>-1073605.3656824999</v>
      </c>
      <c r="F71" s="110">
        <f t="shared" ref="F71:X71" si="11">-F56*$C$49</f>
        <v>-1070665.2973885785</v>
      </c>
      <c r="G71" s="110">
        <f t="shared" si="11"/>
        <v>-1067733.28047168</v>
      </c>
      <c r="H71" s="110">
        <f t="shared" si="11"/>
        <v>-1064809.2928831084</v>
      </c>
      <c r="I71" s="110">
        <f t="shared" si="11"/>
        <v>-1061893.3126345479</v>
      </c>
      <c r="J71" s="110">
        <f t="shared" si="11"/>
        <v>-1058985.3177978983</v>
      </c>
      <c r="K71" s="110">
        <f t="shared" si="11"/>
        <v>-1056085.2865051089</v>
      </c>
      <c r="L71" s="110">
        <f t="shared" si="11"/>
        <v>-1053193.1969480149</v>
      </c>
      <c r="M71" s="110">
        <f t="shared" si="11"/>
        <v>-1050309.0273781726</v>
      </c>
      <c r="N71" s="110">
        <f t="shared" si="11"/>
        <v>-1047432.7561066977</v>
      </c>
      <c r="O71" s="110">
        <f t="shared" si="11"/>
        <v>-1044564.3615040996</v>
      </c>
      <c r="P71" s="110">
        <f t="shared" si="11"/>
        <v>-1041703.8220001207</v>
      </c>
      <c r="Q71" s="110">
        <f t="shared" si="11"/>
        <v>-1038851.1160835734</v>
      </c>
      <c r="R71" s="110">
        <f t="shared" si="11"/>
        <v>-1036006.2223021786</v>
      </c>
      <c r="S71" s="110">
        <f t="shared" si="11"/>
        <v>-1033169.1192624042</v>
      </c>
      <c r="T71" s="110">
        <f t="shared" si="11"/>
        <v>-1030339.785629304</v>
      </c>
      <c r="U71" s="110">
        <f t="shared" si="11"/>
        <v>-1027518.2001263582</v>
      </c>
      <c r="V71" s="110">
        <f t="shared" si="11"/>
        <v>-1024704.3415353122</v>
      </c>
      <c r="W71" s="110">
        <f t="shared" si="11"/>
        <v>-1021898.188696018</v>
      </c>
      <c r="X71" s="110">
        <f t="shared" si="11"/>
        <v>-1019099.7205062738</v>
      </c>
    </row>
    <row r="72" spans="1:24" x14ac:dyDescent="0.2">
      <c r="A72" s="32" t="s">
        <v>73</v>
      </c>
      <c r="B72" s="21"/>
      <c r="C72" s="21"/>
      <c r="D72" s="111" t="s">
        <v>84</v>
      </c>
      <c r="E72" s="110">
        <f>-$C$46*E54</f>
        <v>-16459.776249999999</v>
      </c>
      <c r="F72" s="110">
        <f t="shared" ref="F72:X72" si="12">-$C$46*F54</f>
        <v>-16333.035972874999</v>
      </c>
      <c r="G72" s="110">
        <f t="shared" si="12"/>
        <v>-16207.271595883862</v>
      </c>
      <c r="H72" s="110">
        <f t="shared" si="12"/>
        <v>-16082.475604595555</v>
      </c>
      <c r="I72" s="110">
        <f t="shared" si="12"/>
        <v>-15958.640542440167</v>
      </c>
      <c r="J72" s="110">
        <f t="shared" si="12"/>
        <v>-15835.759010263377</v>
      </c>
      <c r="K72" s="110">
        <f t="shared" si="12"/>
        <v>-15713.823665884349</v>
      </c>
      <c r="L72" s="110">
        <f t="shared" si="12"/>
        <v>-15592.827223657039</v>
      </c>
      <c r="M72" s="110">
        <f t="shared" si="12"/>
        <v>-15472.762454034879</v>
      </c>
      <c r="N72" s="110">
        <f t="shared" si="12"/>
        <v>-15353.62218313881</v>
      </c>
      <c r="O72" s="110">
        <f t="shared" si="12"/>
        <v>-15235.399292328641</v>
      </c>
      <c r="P72" s="110">
        <f t="shared" si="12"/>
        <v>-15118.086717777709</v>
      </c>
      <c r="Q72" s="110">
        <f t="shared" si="12"/>
        <v>-15001.67745005082</v>
      </c>
      <c r="R72" s="110">
        <f t="shared" si="12"/>
        <v>-14886.164533685427</v>
      </c>
      <c r="S72" s="110">
        <f t="shared" si="12"/>
        <v>-14771.541066776048</v>
      </c>
      <c r="T72" s="110">
        <f t="shared" si="12"/>
        <v>-14657.800200561871</v>
      </c>
      <c r="U72" s="110">
        <f t="shared" si="12"/>
        <v>-14544.935139017543</v>
      </c>
      <c r="V72" s="110">
        <f t="shared" si="12"/>
        <v>-14432.939138447107</v>
      </c>
      <c r="W72" s="110">
        <f t="shared" si="12"/>
        <v>-14321.805507081064</v>
      </c>
      <c r="X72" s="110">
        <f t="shared" si="12"/>
        <v>-14211.527604676539</v>
      </c>
    </row>
    <row r="73" spans="1:24" x14ac:dyDescent="0.2">
      <c r="A73" s="32" t="s">
        <v>78</v>
      </c>
      <c r="B73" s="21"/>
      <c r="C73" s="21"/>
      <c r="D73" s="50" t="s">
        <v>84</v>
      </c>
      <c r="E73" s="40">
        <f>-$C$50*E54</f>
        <v>-23043.686749999997</v>
      </c>
      <c r="F73" s="40">
        <f t="shared" ref="F73:X73" si="13">-$C$50*F54</f>
        <v>-22866.250362024999</v>
      </c>
      <c r="G73" s="40">
        <f t="shared" si="13"/>
        <v>-22690.180234237407</v>
      </c>
      <c r="H73" s="40">
        <f t="shared" si="13"/>
        <v>-22515.465846433774</v>
      </c>
      <c r="I73" s="40">
        <f t="shared" si="13"/>
        <v>-22342.096759416232</v>
      </c>
      <c r="J73" s="40">
        <f t="shared" si="13"/>
        <v>-22170.062614368726</v>
      </c>
      <c r="K73" s="40">
        <f t="shared" si="13"/>
        <v>-21999.353132238088</v>
      </c>
      <c r="L73" s="40">
        <f t="shared" si="13"/>
        <v>-21829.958113119854</v>
      </c>
      <c r="M73" s="40">
        <f t="shared" si="13"/>
        <v>-21661.86743564883</v>
      </c>
      <c r="N73" s="40">
        <f t="shared" si="13"/>
        <v>-21495.071056394332</v>
      </c>
      <c r="O73" s="40">
        <f t="shared" si="13"/>
        <v>-21329.559009260094</v>
      </c>
      <c r="P73" s="40">
        <f t="shared" si="13"/>
        <v>-21165.321404888793</v>
      </c>
      <c r="Q73" s="40">
        <f t="shared" si="13"/>
        <v>-21002.348430071146</v>
      </c>
      <c r="R73" s="40">
        <f t="shared" si="13"/>
        <v>-20840.630347159597</v>
      </c>
      <c r="S73" s="40">
        <f t="shared" si="13"/>
        <v>-20680.157493486466</v>
      </c>
      <c r="T73" s="40">
        <f t="shared" si="13"/>
        <v>-20520.920280786617</v>
      </c>
      <c r="U73" s="40">
        <f t="shared" si="13"/>
        <v>-20362.909194624561</v>
      </c>
      <c r="V73" s="40">
        <f t="shared" si="13"/>
        <v>-20206.114793825949</v>
      </c>
      <c r="W73" s="40">
        <f t="shared" si="13"/>
        <v>-20050.527709913487</v>
      </c>
      <c r="X73" s="40">
        <f t="shared" si="13"/>
        <v>-19896.138646547155</v>
      </c>
    </row>
    <row r="74" spans="1:24" x14ac:dyDescent="0.2">
      <c r="A74" s="104" t="s">
        <v>88</v>
      </c>
      <c r="B74" s="105"/>
      <c r="C74" s="105"/>
      <c r="D74" s="106"/>
      <c r="E74" s="107">
        <f>E56+E57</f>
        <v>13381721.619867496</v>
      </c>
      <c r="F74" s="107">
        <f t="shared" ref="F74:X74" si="14">F56+F57</f>
        <v>13326117.107975069</v>
      </c>
      <c r="G74" s="107">
        <f t="shared" si="14"/>
        <v>13270280.266592573</v>
      </c>
      <c r="H74" s="107">
        <f t="shared" si="14"/>
        <v>13214204.081709478</v>
      </c>
      <c r="I74" s="107">
        <f t="shared" si="14"/>
        <v>13157881.405196335</v>
      </c>
      <c r="J74" s="107">
        <f t="shared" si="14"/>
        <v>13101304.952107996</v>
      </c>
      <c r="K74" s="107">
        <f t="shared" si="14"/>
        <v>13044467.297932945</v>
      </c>
      <c r="L74" s="107">
        <f t="shared" si="14"/>
        <v>12987360.87578759</v>
      </c>
      <c r="M74" s="107">
        <f t="shared" si="14"/>
        <v>12929977.973554509</v>
      </c>
      <c r="N74" s="107">
        <f t="shared" si="14"/>
        <v>12872310.730963461</v>
      </c>
      <c r="O74" s="107">
        <f t="shared" si="14"/>
        <v>12814351.136614025</v>
      </c>
      <c r="P74" s="107">
        <f t="shared" si="14"/>
        <v>12756091.024938736</v>
      </c>
      <c r="Q74" s="107">
        <f t="shared" si="14"/>
        <v>12697522.073105492</v>
      </c>
      <c r="R74" s="107">
        <f t="shared" si="14"/>
        <v>12638635.79785803</v>
      </c>
      <c r="S74" s="107">
        <f t="shared" si="14"/>
        <v>12579423.552293235</v>
      </c>
      <c r="T74" s="107">
        <f t="shared" si="14"/>
        <v>12519876.522574022</v>
      </c>
      <c r="U74" s="107">
        <f t="shared" si="14"/>
        <v>12459985.724576484</v>
      </c>
      <c r="V74" s="107">
        <f t="shared" si="14"/>
        <v>12399742.000470012</v>
      </c>
      <c r="W74" s="107">
        <f t="shared" si="14"/>
        <v>12339136.015229043</v>
      </c>
      <c r="X74" s="107">
        <f t="shared" si="14"/>
        <v>12278158.253075048</v>
      </c>
    </row>
    <row r="75" spans="1:24" x14ac:dyDescent="0.2">
      <c r="A75" s="112" t="s">
        <v>89</v>
      </c>
      <c r="B75" s="112"/>
      <c r="C75" s="112"/>
      <c r="D75" s="113"/>
      <c r="E75" s="114">
        <f>E74/E56</f>
        <v>0.87249984336213127</v>
      </c>
      <c r="F75" s="114">
        <f t="shared" ref="F75:X75" si="15">F74/F56</f>
        <v>0.87126032741836579</v>
      </c>
      <c r="G75" s="114">
        <f t="shared" si="15"/>
        <v>0.86999219341662026</v>
      </c>
      <c r="H75" s="114">
        <f t="shared" si="15"/>
        <v>0.86869479060905108</v>
      </c>
      <c r="I75" s="114">
        <f t="shared" si="15"/>
        <v>0.86736745340134258</v>
      </c>
      <c r="J75" s="114">
        <f t="shared" si="15"/>
        <v>0.86600950101423579</v>
      </c>
      <c r="K75" s="114">
        <f t="shared" si="15"/>
        <v>0.86462023713734315</v>
      </c>
      <c r="L75" s="114">
        <f t="shared" si="15"/>
        <v>0.86319894957506538</v>
      </c>
      <c r="M75" s="114">
        <f t="shared" si="15"/>
        <v>0.86174490988443853</v>
      </c>
      <c r="N75" s="114">
        <f t="shared" si="15"/>
        <v>0.86025737300472094</v>
      </c>
      <c r="O75" s="114">
        <f t="shared" si="15"/>
        <v>0.8587355768785353</v>
      </c>
      <c r="P75" s="114">
        <f t="shared" si="15"/>
        <v>0.85717874206437172</v>
      </c>
      <c r="Q75" s="114">
        <f t="shared" si="15"/>
        <v>0.85558607134025566</v>
      </c>
      <c r="R75" s="114">
        <f t="shared" si="15"/>
        <v>0.85395674929837895</v>
      </c>
      <c r="S75" s="114">
        <f t="shared" si="15"/>
        <v>0.85228994193048679</v>
      </c>
      <c r="T75" s="114">
        <f t="shared" si="15"/>
        <v>0.85058479620381267</v>
      </c>
      <c r="U75" s="114">
        <f t="shared" si="15"/>
        <v>0.8488404396273429</v>
      </c>
      <c r="V75" s="114">
        <f t="shared" si="15"/>
        <v>0.84705597980819081</v>
      </c>
      <c r="W75" s="114">
        <f t="shared" si="15"/>
        <v>0.8452305039978576</v>
      </c>
      <c r="X75" s="114">
        <f t="shared" si="15"/>
        <v>0.84336307862814519</v>
      </c>
    </row>
    <row r="76" spans="1:24" x14ac:dyDescent="0.2">
      <c r="A76" s="32" t="s">
        <v>90</v>
      </c>
      <c r="B76" s="21"/>
      <c r="C76" s="21"/>
      <c r="D76" s="50" t="s">
        <v>82</v>
      </c>
      <c r="E76" s="110">
        <f>(E101+E105)*1000000</f>
        <v>-5376140.466</v>
      </c>
      <c r="F76" s="110">
        <f>E76</f>
        <v>-5376140.466</v>
      </c>
      <c r="G76" s="110">
        <f t="shared" ref="G76:X76" si="16">F76</f>
        <v>-5376140.466</v>
      </c>
      <c r="H76" s="110">
        <f t="shared" si="16"/>
        <v>-5376140.466</v>
      </c>
      <c r="I76" s="110">
        <f t="shared" si="16"/>
        <v>-5376140.466</v>
      </c>
      <c r="J76" s="110">
        <f t="shared" si="16"/>
        <v>-5376140.466</v>
      </c>
      <c r="K76" s="110">
        <f>J76</f>
        <v>-5376140.466</v>
      </c>
      <c r="L76" s="110">
        <f t="shared" si="16"/>
        <v>-5376140.466</v>
      </c>
      <c r="M76" s="110">
        <f t="shared" si="16"/>
        <v>-5376140.466</v>
      </c>
      <c r="N76" s="110">
        <f>M76</f>
        <v>-5376140.466</v>
      </c>
      <c r="O76" s="110">
        <f t="shared" si="16"/>
        <v>-5376140.466</v>
      </c>
      <c r="P76" s="110">
        <f t="shared" si="16"/>
        <v>-5376140.466</v>
      </c>
      <c r="Q76" s="110">
        <f t="shared" si="16"/>
        <v>-5376140.466</v>
      </c>
      <c r="R76" s="110">
        <f t="shared" si="16"/>
        <v>-5376140.466</v>
      </c>
      <c r="S76" s="110">
        <f t="shared" si="16"/>
        <v>-5376140.466</v>
      </c>
      <c r="T76" s="110">
        <f t="shared" si="16"/>
        <v>-5376140.466</v>
      </c>
      <c r="U76" s="110">
        <f t="shared" si="16"/>
        <v>-5376140.466</v>
      </c>
      <c r="V76" s="110">
        <f t="shared" si="16"/>
        <v>-5376140.466</v>
      </c>
      <c r="W76" s="110">
        <f t="shared" si="16"/>
        <v>-5376140.466</v>
      </c>
      <c r="X76" s="110">
        <f t="shared" si="16"/>
        <v>-5376140.466</v>
      </c>
    </row>
    <row r="77" spans="1:24" x14ac:dyDescent="0.2">
      <c r="A77" s="104" t="s">
        <v>91</v>
      </c>
      <c r="B77" s="105"/>
      <c r="C77" s="105"/>
      <c r="D77" s="106"/>
      <c r="E77" s="107">
        <f>E74+E76</f>
        <v>8005581.1538674962</v>
      </c>
      <c r="F77" s="107">
        <f t="shared" ref="F77:X77" si="17">F74+F76</f>
        <v>7949976.6419750694</v>
      </c>
      <c r="G77" s="107">
        <f t="shared" si="17"/>
        <v>7894139.8005925734</v>
      </c>
      <c r="H77" s="107">
        <f t="shared" si="17"/>
        <v>7838063.615709478</v>
      </c>
      <c r="I77" s="107">
        <f t="shared" si="17"/>
        <v>7781740.9391963352</v>
      </c>
      <c r="J77" s="107">
        <f t="shared" si="17"/>
        <v>7725164.4861079957</v>
      </c>
      <c r="K77" s="107">
        <f t="shared" si="17"/>
        <v>7668326.8319329452</v>
      </c>
      <c r="L77" s="107">
        <f t="shared" si="17"/>
        <v>7611220.4097875897</v>
      </c>
      <c r="M77" s="107">
        <f t="shared" si="17"/>
        <v>7553837.5075545087</v>
      </c>
      <c r="N77" s="107">
        <f t="shared" si="17"/>
        <v>7496170.2649634611</v>
      </c>
      <c r="O77" s="107">
        <f t="shared" si="17"/>
        <v>7438210.6706140246</v>
      </c>
      <c r="P77" s="107">
        <f t="shared" si="17"/>
        <v>7379950.5589387361</v>
      </c>
      <c r="Q77" s="107">
        <f t="shared" si="17"/>
        <v>7321381.6071054917</v>
      </c>
      <c r="R77" s="107">
        <f t="shared" si="17"/>
        <v>7262495.3318580296</v>
      </c>
      <c r="S77" s="107">
        <f t="shared" si="17"/>
        <v>7203283.0862932354</v>
      </c>
      <c r="T77" s="107">
        <f t="shared" si="17"/>
        <v>7143736.0565740224</v>
      </c>
      <c r="U77" s="107">
        <f t="shared" si="17"/>
        <v>7083845.2585764844</v>
      </c>
      <c r="V77" s="107">
        <f t="shared" si="17"/>
        <v>7023601.5344700124</v>
      </c>
      <c r="W77" s="107">
        <f t="shared" si="17"/>
        <v>6962995.5492290426</v>
      </c>
      <c r="X77" s="107">
        <f t="shared" si="17"/>
        <v>6902017.7870750483</v>
      </c>
    </row>
    <row r="78" spans="1:24" x14ac:dyDescent="0.2">
      <c r="A78" s="112" t="s">
        <v>89</v>
      </c>
      <c r="B78" s="112"/>
      <c r="C78" s="112"/>
      <c r="D78" s="113"/>
      <c r="E78" s="114">
        <f>E77/E56</f>
        <v>0.52197082716187782</v>
      </c>
      <c r="F78" s="114">
        <f t="shared" ref="F78:X78" si="18">F77/F56</f>
        <v>0.51976875153756286</v>
      </c>
      <c r="G78" s="114">
        <f t="shared" si="18"/>
        <v>0.51753541464715713</v>
      </c>
      <c r="H78" s="114">
        <f t="shared" si="18"/>
        <v>0.51527015848451496</v>
      </c>
      <c r="I78" s="114">
        <f t="shared" si="18"/>
        <v>0.51297231017708678</v>
      </c>
      <c r="J78" s="114">
        <f t="shared" si="18"/>
        <v>0.51064118164739392</v>
      </c>
      <c r="K78" s="114">
        <f t="shared" si="18"/>
        <v>0.50827606926678781</v>
      </c>
      <c r="L78" s="114">
        <f t="shared" si="18"/>
        <v>0.50587625350131216</v>
      </c>
      <c r="M78" s="114">
        <f t="shared" si="18"/>
        <v>0.50344099854949453</v>
      </c>
      <c r="N78" s="114">
        <f t="shared" si="18"/>
        <v>0.50096955197187865</v>
      </c>
      <c r="O78" s="114">
        <f t="shared" si="18"/>
        <v>0.49846114431210975</v>
      </c>
      <c r="P78" s="114">
        <f t="shared" si="18"/>
        <v>0.49591498870938361</v>
      </c>
      <c r="Q78" s="114">
        <f t="shared" si="18"/>
        <v>0.49333028050205718</v>
      </c>
      <c r="R78" s="114">
        <f t="shared" si="18"/>
        <v>0.49070619682222449</v>
      </c>
      <c r="S78" s="114">
        <f t="shared" si="18"/>
        <v>0.48804189618104749</v>
      </c>
      <c r="T78" s="114">
        <f t="shared" si="18"/>
        <v>0.48533651804463457</v>
      </c>
      <c r="U78" s="114">
        <f t="shared" si="18"/>
        <v>0.48258918240024834</v>
      </c>
      <c r="V78" s="114">
        <f t="shared" si="18"/>
        <v>0.47979898931262421</v>
      </c>
      <c r="W78" s="114">
        <f t="shared" si="18"/>
        <v>0.47696501847017347</v>
      </c>
      <c r="X78" s="114">
        <f t="shared" si="18"/>
        <v>0.47408632872083994</v>
      </c>
    </row>
    <row r="79" spans="1:24" x14ac:dyDescent="0.2">
      <c r="A79" s="32" t="s">
        <v>92</v>
      </c>
      <c r="B79" s="21"/>
      <c r="C79" s="21"/>
      <c r="D79" s="50" t="s">
        <v>82</v>
      </c>
      <c r="E79" s="110">
        <f t="shared" ref="E79:X79" si="19">E118</f>
        <v>-2099694.7431200277</v>
      </c>
      <c r="F79" s="110">
        <f t="shared" si="19"/>
        <v>-1994710.0097140262</v>
      </c>
      <c r="G79" s="110">
        <f t="shared" si="19"/>
        <v>-1889725.2763080252</v>
      </c>
      <c r="H79" s="110">
        <f t="shared" si="19"/>
        <v>-1784740.5429020238</v>
      </c>
      <c r="I79" s="110">
        <f t="shared" si="19"/>
        <v>-1679755.8094960223</v>
      </c>
      <c r="J79" s="110">
        <f t="shared" si="19"/>
        <v>-1574771.0760900211</v>
      </c>
      <c r="K79" s="110">
        <f t="shared" si="19"/>
        <v>-1469786.3426840196</v>
      </c>
      <c r="L79" s="110">
        <f t="shared" si="19"/>
        <v>-1364801.6092780179</v>
      </c>
      <c r="M79" s="110">
        <f t="shared" si="19"/>
        <v>-1259816.8758720167</v>
      </c>
      <c r="N79" s="110">
        <f t="shared" si="19"/>
        <v>-1154832.1424660152</v>
      </c>
      <c r="O79" s="110">
        <f t="shared" si="19"/>
        <v>-1049847.4090600137</v>
      </c>
      <c r="P79" s="110">
        <f t="shared" si="19"/>
        <v>-944862.67565401248</v>
      </c>
      <c r="Q79" s="110">
        <f t="shared" si="19"/>
        <v>-839877.94224801101</v>
      </c>
      <c r="R79" s="110">
        <f t="shared" si="19"/>
        <v>-734893.20884200966</v>
      </c>
      <c r="S79" s="110">
        <f t="shared" si="19"/>
        <v>-629908.47543600807</v>
      </c>
      <c r="T79" s="110">
        <f t="shared" si="19"/>
        <v>-524923.7420300066</v>
      </c>
      <c r="U79" s="110">
        <f t="shared" si="19"/>
        <v>-419939.00862400531</v>
      </c>
      <c r="V79" s="110">
        <f t="shared" si="19"/>
        <v>-314954.27521800401</v>
      </c>
      <c r="W79" s="110">
        <f t="shared" si="19"/>
        <v>-209969.5418120026</v>
      </c>
      <c r="X79" s="110">
        <f t="shared" si="19"/>
        <v>-104984.8084060012</v>
      </c>
    </row>
    <row r="80" spans="1:24" x14ac:dyDescent="0.2">
      <c r="A80" s="32"/>
      <c r="B80" s="21"/>
      <c r="C80" s="21"/>
      <c r="D80" s="5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</row>
    <row r="81" spans="1:24" x14ac:dyDescent="0.2">
      <c r="A81" s="104" t="s">
        <v>93</v>
      </c>
      <c r="B81" s="105"/>
      <c r="C81" s="105"/>
      <c r="D81" s="106"/>
      <c r="E81" s="107">
        <f t="shared" ref="E81:X81" si="20">E77+E79+E80</f>
        <v>5905886.4107474685</v>
      </c>
      <c r="F81" s="107">
        <f t="shared" si="20"/>
        <v>5955266.6322610434</v>
      </c>
      <c r="G81" s="107">
        <f t="shared" si="20"/>
        <v>6004414.5242845481</v>
      </c>
      <c r="H81" s="107">
        <f t="shared" si="20"/>
        <v>6053323.0728074545</v>
      </c>
      <c r="I81" s="107">
        <f t="shared" si="20"/>
        <v>6101985.1297003124</v>
      </c>
      <c r="J81" s="107">
        <f t="shared" si="20"/>
        <v>6150393.4100179747</v>
      </c>
      <c r="K81" s="107">
        <f t="shared" si="20"/>
        <v>6198540.4892489258</v>
      </c>
      <c r="L81" s="107">
        <f t="shared" si="20"/>
        <v>6246418.800509572</v>
      </c>
      <c r="M81" s="107">
        <f t="shared" si="20"/>
        <v>6294020.6316824919</v>
      </c>
      <c r="N81" s="107">
        <f t="shared" si="20"/>
        <v>6341338.1224974459</v>
      </c>
      <c r="O81" s="107">
        <f t="shared" si="20"/>
        <v>6388363.2615540111</v>
      </c>
      <c r="P81" s="107">
        <f t="shared" si="20"/>
        <v>6435087.8832847234</v>
      </c>
      <c r="Q81" s="107">
        <f t="shared" si="20"/>
        <v>6481503.6648574807</v>
      </c>
      <c r="R81" s="107">
        <f t="shared" si="20"/>
        <v>6527602.1230160203</v>
      </c>
      <c r="S81" s="107">
        <f t="shared" si="20"/>
        <v>6573374.6108572278</v>
      </c>
      <c r="T81" s="107">
        <f t="shared" si="20"/>
        <v>6618812.3145440156</v>
      </c>
      <c r="U81" s="107">
        <f t="shared" si="20"/>
        <v>6663906.2499524793</v>
      </c>
      <c r="V81" s="107">
        <f t="shared" si="20"/>
        <v>6708647.2592520081</v>
      </c>
      <c r="W81" s="107">
        <f t="shared" si="20"/>
        <v>6753026.0074170399</v>
      </c>
      <c r="X81" s="107">
        <f t="shared" si="20"/>
        <v>6797032.9786690474</v>
      </c>
    </row>
    <row r="82" spans="1:24" x14ac:dyDescent="0.2">
      <c r="A82" s="32" t="s">
        <v>50</v>
      </c>
      <c r="B82" s="21"/>
      <c r="C82" s="21"/>
      <c r="D82" s="50" t="s">
        <v>82</v>
      </c>
      <c r="E82" s="110">
        <f>E135</f>
        <v>-1771765.9232242405</v>
      </c>
      <c r="F82" s="110">
        <f t="shared" ref="F82:X82" si="21">F135</f>
        <v>-1786579.989678313</v>
      </c>
      <c r="G82" s="110">
        <f t="shared" si="21"/>
        <v>-1801324.3572853643</v>
      </c>
      <c r="H82" s="110">
        <f t="shared" si="21"/>
        <v>-1815996.9218422363</v>
      </c>
      <c r="I82" s="110">
        <f t="shared" si="21"/>
        <v>-1830595.5389100937</v>
      </c>
      <c r="J82" s="110">
        <f t="shared" si="21"/>
        <v>-1845118.0230053924</v>
      </c>
      <c r="K82" s="110">
        <f t="shared" si="21"/>
        <v>-1859562.1467746778</v>
      </c>
      <c r="L82" s="110">
        <f t="shared" si="21"/>
        <v>-1873925.6401528716</v>
      </c>
      <c r="M82" s="110">
        <f t="shared" si="21"/>
        <v>-1888206.1895047475</v>
      </c>
      <c r="N82" s="110">
        <f t="shared" si="21"/>
        <v>-1902401.4367492336</v>
      </c>
      <c r="O82" s="110">
        <f t="shared" si="21"/>
        <v>-1916508.9784662032</v>
      </c>
      <c r="P82" s="110">
        <f t="shared" si="21"/>
        <v>-1930526.3649854169</v>
      </c>
      <c r="Q82" s="110">
        <f t="shared" si="21"/>
        <v>-1944451.0994572442</v>
      </c>
      <c r="R82" s="110">
        <f t="shared" si="21"/>
        <v>-1958280.6369048059</v>
      </c>
      <c r="S82" s="110">
        <f t="shared" si="21"/>
        <v>-1972012.3832571683</v>
      </c>
      <c r="T82" s="110">
        <f t="shared" si="21"/>
        <v>-1985643.6943632045</v>
      </c>
      <c r="U82" s="110">
        <f t="shared" si="21"/>
        <v>-1999171.8749857438</v>
      </c>
      <c r="V82" s="110">
        <f t="shared" si="21"/>
        <v>-2012594.1777756023</v>
      </c>
      <c r="W82" s="110">
        <f t="shared" si="21"/>
        <v>-2025907.802225112</v>
      </c>
      <c r="X82" s="110">
        <f t="shared" si="21"/>
        <v>-2039109.8936007142</v>
      </c>
    </row>
    <row r="83" spans="1:24" x14ac:dyDescent="0.2">
      <c r="A83" s="104" t="s">
        <v>94</v>
      </c>
      <c r="B83" s="105"/>
      <c r="C83" s="105"/>
      <c r="D83" s="106"/>
      <c r="E83" s="107">
        <f>E81+E82</f>
        <v>4134120.4875232279</v>
      </c>
      <c r="F83" s="107">
        <f t="shared" ref="F83:X83" si="22">F81+F82</f>
        <v>4168686.6425827304</v>
      </c>
      <c r="G83" s="107">
        <f t="shared" si="22"/>
        <v>4203090.1669991836</v>
      </c>
      <c r="H83" s="107">
        <f t="shared" si="22"/>
        <v>4237326.1509652184</v>
      </c>
      <c r="I83" s="107">
        <f t="shared" si="22"/>
        <v>4271389.5907902187</v>
      </c>
      <c r="J83" s="107">
        <f t="shared" si="22"/>
        <v>4305275.3870125823</v>
      </c>
      <c r="K83" s="107">
        <f t="shared" si="22"/>
        <v>4338978.3424742483</v>
      </c>
      <c r="L83" s="107">
        <f t="shared" si="22"/>
        <v>4372493.1603567004</v>
      </c>
      <c r="M83" s="107">
        <f t="shared" si="22"/>
        <v>4405814.4421777446</v>
      </c>
      <c r="N83" s="107">
        <f t="shared" si="22"/>
        <v>4438936.685748212</v>
      </c>
      <c r="O83" s="107">
        <f t="shared" si="22"/>
        <v>4471854.2830878077</v>
      </c>
      <c r="P83" s="107">
        <f t="shared" si="22"/>
        <v>4504561.5182993067</v>
      </c>
      <c r="Q83" s="107">
        <f t="shared" si="22"/>
        <v>4537052.5654002363</v>
      </c>
      <c r="R83" s="107">
        <f t="shared" si="22"/>
        <v>4569321.4861112144</v>
      </c>
      <c r="S83" s="107">
        <f t="shared" si="22"/>
        <v>4601362.2276000595</v>
      </c>
      <c r="T83" s="107">
        <f t="shared" si="22"/>
        <v>4633168.6201808108</v>
      </c>
      <c r="U83" s="107">
        <f t="shared" si="22"/>
        <v>4664734.374966735</v>
      </c>
      <c r="V83" s="107">
        <f t="shared" si="22"/>
        <v>4696053.0814764053</v>
      </c>
      <c r="W83" s="107">
        <f t="shared" si="22"/>
        <v>4727118.205191928</v>
      </c>
      <c r="X83" s="107">
        <f t="shared" si="22"/>
        <v>4757923.085068333</v>
      </c>
    </row>
    <row r="84" spans="1:24" x14ac:dyDescent="0.2">
      <c r="A84" s="112" t="s">
        <v>89</v>
      </c>
      <c r="B84" s="112"/>
      <c r="C84" s="112"/>
      <c r="D84" s="113"/>
      <c r="E84" s="114">
        <f>E83/E56</f>
        <v>0.26954823753387197</v>
      </c>
      <c r="F84" s="114">
        <f t="shared" ref="F84:X84" si="23">F83/F56</f>
        <v>0.27254835446010045</v>
      </c>
      <c r="G84" s="114">
        <f t="shared" si="23"/>
        <v>0.27555225361147345</v>
      </c>
      <c r="H84" s="114">
        <f t="shared" si="23"/>
        <v>0.27855958109122797</v>
      </c>
      <c r="I84" s="114">
        <f t="shared" si="23"/>
        <v>0.2815699729886289</v>
      </c>
      <c r="J84" s="114">
        <f t="shared" si="23"/>
        <v>0.2845830551433533</v>
      </c>
      <c r="K84" s="114">
        <f t="shared" si="23"/>
        <v>0.28759844290447661</v>
      </c>
      <c r="L84" s="114">
        <f t="shared" si="23"/>
        <v>0.29061574088393655</v>
      </c>
      <c r="M84" s="114">
        <f t="shared" si="23"/>
        <v>0.29363454270435169</v>
      </c>
      <c r="N84" s="114">
        <f t="shared" si="23"/>
        <v>0.29665443074106279</v>
      </c>
      <c r="O84" s="114">
        <f t="shared" si="23"/>
        <v>0.29967497585826647</v>
      </c>
      <c r="P84" s="114">
        <f t="shared" si="23"/>
        <v>0.30269573713910686</v>
      </c>
      <c r="Q84" s="114">
        <f t="shared" si="23"/>
        <v>0.30571626160958643</v>
      </c>
      <c r="R84" s="114">
        <f t="shared" si="23"/>
        <v>0.30873608395615559</v>
      </c>
      <c r="S84" s="114">
        <f t="shared" si="23"/>
        <v>0.31175472623683642</v>
      </c>
      <c r="T84" s="114">
        <f t="shared" si="23"/>
        <v>0.31477169758573353</v>
      </c>
      <c r="U84" s="114">
        <f t="shared" si="23"/>
        <v>0.3177864939107809</v>
      </c>
      <c r="V84" s="114">
        <f t="shared" si="23"/>
        <v>0.32079859758456997</v>
      </c>
      <c r="W84" s="114">
        <f t="shared" si="23"/>
        <v>0.32380747712810232</v>
      </c>
      <c r="X84" s="114">
        <f t="shared" si="23"/>
        <v>0.32681258688730352</v>
      </c>
    </row>
    <row r="85" spans="1:24" x14ac:dyDescent="0.2">
      <c r="A85" s="20"/>
      <c r="B85" s="21"/>
      <c r="C85" s="2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x14ac:dyDescent="0.2">
      <c r="A86" s="4" t="s">
        <v>95</v>
      </c>
      <c r="B86" s="4"/>
      <c r="C86" s="4"/>
      <c r="D86" s="5"/>
      <c r="E86" s="6">
        <f t="shared" ref="E86:X86" si="24">E53</f>
        <v>41609</v>
      </c>
      <c r="F86" s="6">
        <f t="shared" si="24"/>
        <v>41974</v>
      </c>
      <c r="G86" s="6">
        <f t="shared" si="24"/>
        <v>42339</v>
      </c>
      <c r="H86" s="6">
        <f t="shared" si="24"/>
        <v>42705</v>
      </c>
      <c r="I86" s="6">
        <f t="shared" si="24"/>
        <v>43070</v>
      </c>
      <c r="J86" s="6">
        <f t="shared" si="24"/>
        <v>43435</v>
      </c>
      <c r="K86" s="6">
        <f t="shared" si="24"/>
        <v>43800</v>
      </c>
      <c r="L86" s="6">
        <f t="shared" si="24"/>
        <v>44166</v>
      </c>
      <c r="M86" s="6">
        <f t="shared" si="24"/>
        <v>44531</v>
      </c>
      <c r="N86" s="6">
        <f t="shared" si="24"/>
        <v>44896</v>
      </c>
      <c r="O86" s="6">
        <f t="shared" si="24"/>
        <v>45261</v>
      </c>
      <c r="P86" s="6">
        <f t="shared" si="24"/>
        <v>45627</v>
      </c>
      <c r="Q86" s="6">
        <f t="shared" si="24"/>
        <v>45992</v>
      </c>
      <c r="R86" s="6">
        <f t="shared" si="24"/>
        <v>46357</v>
      </c>
      <c r="S86" s="6">
        <f t="shared" si="24"/>
        <v>46722</v>
      </c>
      <c r="T86" s="6">
        <f t="shared" si="24"/>
        <v>47088</v>
      </c>
      <c r="U86" s="6">
        <f t="shared" si="24"/>
        <v>47453</v>
      </c>
      <c r="V86" s="6">
        <f t="shared" si="24"/>
        <v>47818</v>
      </c>
      <c r="W86" s="6">
        <f t="shared" si="24"/>
        <v>48183</v>
      </c>
      <c r="X86" s="6">
        <f t="shared" si="24"/>
        <v>48549</v>
      </c>
    </row>
    <row r="87" spans="1:24" x14ac:dyDescent="0.2">
      <c r="A87" s="21"/>
      <c r="B87" s="21"/>
      <c r="C87" s="2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1:24" x14ac:dyDescent="0.2">
      <c r="A88" s="21" t="s">
        <v>96</v>
      </c>
      <c r="B88" s="115"/>
      <c r="C88" s="115"/>
      <c r="D88" s="50" t="s">
        <v>82</v>
      </c>
      <c r="E88" s="110">
        <f t="shared" ref="E88:X88" si="25">E56</f>
        <v>15337219.509749997</v>
      </c>
      <c r="F88" s="110">
        <f t="shared" si="25"/>
        <v>15295218.534122549</v>
      </c>
      <c r="G88" s="110">
        <f t="shared" si="25"/>
        <v>15253332.578166855</v>
      </c>
      <c r="H88" s="110">
        <f t="shared" si="25"/>
        <v>15211561.326901546</v>
      </c>
      <c r="I88" s="110">
        <f t="shared" si="25"/>
        <v>15169904.466207827</v>
      </c>
      <c r="J88" s="110">
        <f t="shared" si="25"/>
        <v>15128361.682827117</v>
      </c>
      <c r="K88" s="110">
        <f t="shared" si="25"/>
        <v>15086932.664358698</v>
      </c>
      <c r="L88" s="110">
        <f t="shared" si="25"/>
        <v>15045617.099257354</v>
      </c>
      <c r="M88" s="110">
        <f t="shared" si="25"/>
        <v>15004414.676831037</v>
      </c>
      <c r="N88" s="110">
        <f t="shared" si="25"/>
        <v>14963325.087238537</v>
      </c>
      <c r="O88" s="110">
        <f t="shared" si="25"/>
        <v>14922348.021487135</v>
      </c>
      <c r="P88" s="110">
        <f t="shared" si="25"/>
        <v>14881483.171430293</v>
      </c>
      <c r="Q88" s="110">
        <f t="shared" si="25"/>
        <v>14840730.229765333</v>
      </c>
      <c r="R88" s="110">
        <f t="shared" si="25"/>
        <v>14800088.890031122</v>
      </c>
      <c r="S88" s="110">
        <f t="shared" si="25"/>
        <v>14759558.846605772</v>
      </c>
      <c r="T88" s="110">
        <f t="shared" si="25"/>
        <v>14719139.794704342</v>
      </c>
      <c r="U88" s="110">
        <f t="shared" si="25"/>
        <v>14678831.430376545</v>
      </c>
      <c r="V88" s="110">
        <f t="shared" si="25"/>
        <v>14638633.450504459</v>
      </c>
      <c r="W88" s="110">
        <f t="shared" si="25"/>
        <v>14598545.552800255</v>
      </c>
      <c r="X88" s="110">
        <f t="shared" si="25"/>
        <v>14558567.435803911</v>
      </c>
    </row>
    <row r="89" spans="1:24" x14ac:dyDescent="0.2">
      <c r="A89" s="21" t="s">
        <v>97</v>
      </c>
      <c r="B89" s="115"/>
      <c r="C89" s="115"/>
      <c r="D89" s="50" t="s">
        <v>82</v>
      </c>
      <c r="E89" s="110">
        <f t="shared" ref="E89:X89" si="26">E57</f>
        <v>-1955497.8898825003</v>
      </c>
      <c r="F89" s="110">
        <f t="shared" si="26"/>
        <v>-1969101.4261474791</v>
      </c>
      <c r="G89" s="110">
        <f t="shared" si="26"/>
        <v>-1983052.3115742812</v>
      </c>
      <c r="H89" s="110">
        <f t="shared" si="26"/>
        <v>-1997357.2451920672</v>
      </c>
      <c r="I89" s="110">
        <f t="shared" si="26"/>
        <v>-2012023.0610114923</v>
      </c>
      <c r="J89" s="110">
        <f t="shared" si="26"/>
        <v>-2027056.7307191207</v>
      </c>
      <c r="K89" s="110">
        <f t="shared" si="26"/>
        <v>-2042465.3664257531</v>
      </c>
      <c r="L89" s="110">
        <f t="shared" si="26"/>
        <v>-2058256.223469764</v>
      </c>
      <c r="M89" s="110">
        <f t="shared" si="26"/>
        <v>-2074436.703276528</v>
      </c>
      <c r="N89" s="110">
        <f t="shared" si="26"/>
        <v>-2091014.356275076</v>
      </c>
      <c r="O89" s="110">
        <f t="shared" si="26"/>
        <v>-2107996.8848731103</v>
      </c>
      <c r="P89" s="110">
        <f t="shared" si="26"/>
        <v>-2125392.1464915574</v>
      </c>
      <c r="Q89" s="110">
        <f t="shared" si="26"/>
        <v>-2143208.1566598415</v>
      </c>
      <c r="R89" s="110">
        <f t="shared" si="26"/>
        <v>-2161453.092173093</v>
      </c>
      <c r="S89" s="110">
        <f t="shared" si="26"/>
        <v>-2180135.2943125367</v>
      </c>
      <c r="T89" s="110">
        <f t="shared" si="26"/>
        <v>-2199263.2721303208</v>
      </c>
      <c r="U89" s="110">
        <f t="shared" si="26"/>
        <v>-2218845.7058000611</v>
      </c>
      <c r="V89" s="110">
        <f t="shared" si="26"/>
        <v>-2238891.4500344479</v>
      </c>
      <c r="W89" s="110">
        <f t="shared" si="26"/>
        <v>-2259409.5375712118</v>
      </c>
      <c r="X89" s="110">
        <f t="shared" si="26"/>
        <v>-2280409.1827288615</v>
      </c>
    </row>
    <row r="90" spans="1:24" x14ac:dyDescent="0.2">
      <c r="A90" s="21"/>
      <c r="B90" s="21"/>
      <c r="C90" s="2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1:24" x14ac:dyDescent="0.2">
      <c r="A91" s="21" t="s">
        <v>98</v>
      </c>
      <c r="B91" s="116">
        <v>60</v>
      </c>
      <c r="C91" s="116">
        <v>0</v>
      </c>
      <c r="D91" s="50" t="s">
        <v>82</v>
      </c>
      <c r="E91" s="110">
        <f>E88*$B$91/365</f>
        <v>2521186.7687260266</v>
      </c>
      <c r="F91" s="110">
        <f t="shared" ref="F91:X91" si="27">F88*$B$91/365</f>
        <v>2514282.4987598709</v>
      </c>
      <c r="G91" s="110">
        <f t="shared" si="27"/>
        <v>2507397.1361370175</v>
      </c>
      <c r="H91" s="110">
        <f t="shared" si="27"/>
        <v>2500530.629079706</v>
      </c>
      <c r="I91" s="110">
        <f t="shared" si="27"/>
        <v>2493682.9259519712</v>
      </c>
      <c r="J91" s="110">
        <f t="shared" si="27"/>
        <v>2486853.9752592519</v>
      </c>
      <c r="K91" s="110">
        <f t="shared" si="27"/>
        <v>2480043.725648005</v>
      </c>
      <c r="L91" s="110">
        <f t="shared" si="27"/>
        <v>2473252.1259053187</v>
      </c>
      <c r="M91" s="110">
        <f t="shared" si="27"/>
        <v>2466479.1249585268</v>
      </c>
      <c r="N91" s="110">
        <f t="shared" si="27"/>
        <v>2459724.6718748277</v>
      </c>
      <c r="O91" s="110">
        <f t="shared" si="27"/>
        <v>2452988.7158608991</v>
      </c>
      <c r="P91" s="110">
        <f t="shared" si="27"/>
        <v>2446271.206262514</v>
      </c>
      <c r="Q91" s="110">
        <f t="shared" si="27"/>
        <v>2439572.0925641647</v>
      </c>
      <c r="R91" s="110">
        <f t="shared" si="27"/>
        <v>2432891.3243886773</v>
      </c>
      <c r="S91" s="110">
        <f t="shared" si="27"/>
        <v>2426228.851496839</v>
      </c>
      <c r="T91" s="110">
        <f t="shared" si="27"/>
        <v>2419584.6237870152</v>
      </c>
      <c r="U91" s="110">
        <f t="shared" si="27"/>
        <v>2412958.5912947748</v>
      </c>
      <c r="V91" s="110">
        <f t="shared" si="27"/>
        <v>2406350.7041925141</v>
      </c>
      <c r="W91" s="110">
        <f t="shared" si="27"/>
        <v>2399760.9127890831</v>
      </c>
      <c r="X91" s="110">
        <f t="shared" si="27"/>
        <v>2393189.1675294098</v>
      </c>
    </row>
    <row r="92" spans="1:24" x14ac:dyDescent="0.2">
      <c r="A92" s="12" t="s">
        <v>99</v>
      </c>
      <c r="B92" s="117">
        <v>60</v>
      </c>
      <c r="C92" s="117">
        <v>0</v>
      </c>
      <c r="D92" s="88" t="s">
        <v>82</v>
      </c>
      <c r="E92" s="118">
        <f>E89*$B$92/365</f>
        <v>-321451.70792589046</v>
      </c>
      <c r="F92" s="118">
        <f t="shared" ref="F92:X92" si="28">F89*$B$92/365</f>
        <v>-323687.90566807875</v>
      </c>
      <c r="G92" s="118">
        <f t="shared" si="28"/>
        <v>-325981.2019026216</v>
      </c>
      <c r="H92" s="118">
        <f t="shared" si="28"/>
        <v>-328332.69783979189</v>
      </c>
      <c r="I92" s="118">
        <f t="shared" si="28"/>
        <v>-330743.51687860145</v>
      </c>
      <c r="J92" s="118">
        <f t="shared" si="28"/>
        <v>-333214.80504971847</v>
      </c>
      <c r="K92" s="118">
        <f t="shared" si="28"/>
        <v>-335747.73146724707</v>
      </c>
      <c r="L92" s="118">
        <f t="shared" si="28"/>
        <v>-338343.48878955026</v>
      </c>
      <c r="M92" s="118">
        <f t="shared" si="28"/>
        <v>-341003.29368929227</v>
      </c>
      <c r="N92" s="118">
        <f t="shared" si="28"/>
        <v>-343728.38733288925</v>
      </c>
      <c r="O92" s="118">
        <f t="shared" si="28"/>
        <v>-346520.0358695524</v>
      </c>
      <c r="P92" s="118">
        <f t="shared" si="28"/>
        <v>-349379.53093011904</v>
      </c>
      <c r="Q92" s="118">
        <f t="shared" si="28"/>
        <v>-352308.19013586437</v>
      </c>
      <c r="R92" s="118">
        <f t="shared" si="28"/>
        <v>-355307.35761749477</v>
      </c>
      <c r="S92" s="118">
        <f t="shared" si="28"/>
        <v>-358378.40454452659</v>
      </c>
      <c r="T92" s="118">
        <f t="shared" si="28"/>
        <v>-361522.7296652582</v>
      </c>
      <c r="U92" s="118">
        <f t="shared" si="28"/>
        <v>-364741.75985754433</v>
      </c>
      <c r="V92" s="118">
        <f t="shared" si="28"/>
        <v>-368036.95069059421</v>
      </c>
      <c r="W92" s="118">
        <f t="shared" si="28"/>
        <v>-371409.78699800739</v>
      </c>
      <c r="X92" s="118">
        <f t="shared" si="28"/>
        <v>-374861.78346227854</v>
      </c>
    </row>
    <row r="93" spans="1:24" x14ac:dyDescent="0.2">
      <c r="A93" s="21" t="s">
        <v>100</v>
      </c>
      <c r="B93" s="21"/>
      <c r="C93" s="119">
        <f>SUM(C91:C92)</f>
        <v>0</v>
      </c>
      <c r="D93" s="39"/>
      <c r="E93" s="110">
        <f>+SUM(E91:E92)</f>
        <v>2199735.0608001361</v>
      </c>
      <c r="F93" s="110">
        <f t="shared" ref="F93:X93" si="29">+SUM(F91:F92)</f>
        <v>2190594.593091792</v>
      </c>
      <c r="G93" s="110">
        <f t="shared" si="29"/>
        <v>2181415.9342343961</v>
      </c>
      <c r="H93" s="110">
        <f t="shared" si="29"/>
        <v>2172197.9312399141</v>
      </c>
      <c r="I93" s="110">
        <f t="shared" si="29"/>
        <v>2162939.4090733696</v>
      </c>
      <c r="J93" s="110">
        <f t="shared" si="29"/>
        <v>2153639.1702095335</v>
      </c>
      <c r="K93" s="110">
        <f t="shared" si="29"/>
        <v>2144295.994180758</v>
      </c>
      <c r="L93" s="110">
        <f t="shared" si="29"/>
        <v>2134908.6371157682</v>
      </c>
      <c r="M93" s="110">
        <f t="shared" si="29"/>
        <v>2125475.8312692344</v>
      </c>
      <c r="N93" s="110">
        <f t="shared" si="29"/>
        <v>2115996.2845419385</v>
      </c>
      <c r="O93" s="110">
        <f t="shared" si="29"/>
        <v>2106468.6799913468</v>
      </c>
      <c r="P93" s="110">
        <f t="shared" si="29"/>
        <v>2096891.6753323949</v>
      </c>
      <c r="Q93" s="110">
        <f t="shared" si="29"/>
        <v>2087263.9024283004</v>
      </c>
      <c r="R93" s="110">
        <f t="shared" si="29"/>
        <v>2077583.9667711826</v>
      </c>
      <c r="S93" s="110">
        <f t="shared" si="29"/>
        <v>2067850.4469523123</v>
      </c>
      <c r="T93" s="110">
        <f t="shared" si="29"/>
        <v>2058061.894121757</v>
      </c>
      <c r="U93" s="110">
        <f t="shared" si="29"/>
        <v>2048216.8314372306</v>
      </c>
      <c r="V93" s="110">
        <f t="shared" si="29"/>
        <v>2038313.7535019198</v>
      </c>
      <c r="W93" s="110">
        <f t="shared" si="29"/>
        <v>2028351.1257910756</v>
      </c>
      <c r="X93" s="110">
        <f t="shared" si="29"/>
        <v>2018327.3840671312</v>
      </c>
    </row>
    <row r="94" spans="1:24" x14ac:dyDescent="0.2">
      <c r="A94" s="112" t="s">
        <v>101</v>
      </c>
      <c r="B94" s="21"/>
      <c r="C94" s="21"/>
      <c r="D94" s="50" t="s">
        <v>82</v>
      </c>
      <c r="E94" s="110">
        <f>E93-C93</f>
        <v>2199735.0608001361</v>
      </c>
      <c r="F94" s="110">
        <f>F93-E93</f>
        <v>-9140.4677083441056</v>
      </c>
      <c r="G94" s="110">
        <f t="shared" ref="G94:X94" si="30">G93-F93</f>
        <v>-9178.6588573958725</v>
      </c>
      <c r="H94" s="110">
        <f t="shared" si="30"/>
        <v>-9218.0029944819398</v>
      </c>
      <c r="I94" s="110">
        <f t="shared" si="30"/>
        <v>-9258.5221665445715</v>
      </c>
      <c r="J94" s="110">
        <f t="shared" si="30"/>
        <v>-9300.2388638360426</v>
      </c>
      <c r="K94" s="110">
        <f>K93-J93</f>
        <v>-9343.1760287755169</v>
      </c>
      <c r="L94" s="110">
        <f t="shared" si="30"/>
        <v>-9387.3570649898611</v>
      </c>
      <c r="M94" s="110">
        <f t="shared" si="30"/>
        <v>-9432.8058465337381</v>
      </c>
      <c r="N94" s="110">
        <f>N93-M93</f>
        <v>-9479.546727295965</v>
      </c>
      <c r="O94" s="110">
        <f t="shared" si="30"/>
        <v>-9527.60455059167</v>
      </c>
      <c r="P94" s="110">
        <f t="shared" si="30"/>
        <v>-9577.0046589518897</v>
      </c>
      <c r="Q94" s="110">
        <f t="shared" si="30"/>
        <v>-9627.7729040945414</v>
      </c>
      <c r="R94" s="110">
        <f t="shared" si="30"/>
        <v>-9679.9356571177486</v>
      </c>
      <c r="S94" s="110">
        <f t="shared" si="30"/>
        <v>-9733.5198188703507</v>
      </c>
      <c r="T94" s="110">
        <f t="shared" si="30"/>
        <v>-9788.5528305552434</v>
      </c>
      <c r="U94" s="110">
        <f t="shared" si="30"/>
        <v>-9845.0626845264342</v>
      </c>
      <c r="V94" s="110">
        <f t="shared" si="30"/>
        <v>-9903.0779353107791</v>
      </c>
      <c r="W94" s="110">
        <f t="shared" si="30"/>
        <v>-9962.6277108441573</v>
      </c>
      <c r="X94" s="110">
        <f t="shared" si="30"/>
        <v>-10023.741723944433</v>
      </c>
    </row>
    <row r="95" spans="1:24" x14ac:dyDescent="0.2">
      <c r="A95" s="112"/>
      <c r="B95" s="21"/>
      <c r="C95" s="21"/>
      <c r="D95" s="5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</row>
    <row r="96" spans="1:24" x14ac:dyDescent="0.2">
      <c r="A96" s="112"/>
      <c r="B96" s="21"/>
      <c r="C96" s="21"/>
      <c r="D96" s="5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</row>
    <row r="97" spans="1:24" x14ac:dyDescent="0.2">
      <c r="A97" s="21" t="s">
        <v>102</v>
      </c>
      <c r="B97" s="21"/>
      <c r="C97" s="21"/>
      <c r="D97" s="50" t="s">
        <v>84</v>
      </c>
      <c r="E97" s="121">
        <f>-E94</f>
        <v>-2199735.0608001361</v>
      </c>
      <c r="F97" s="121">
        <f t="shared" ref="F97:X97" si="31">-F94</f>
        <v>9140.4677083441056</v>
      </c>
      <c r="G97" s="121">
        <f t="shared" si="31"/>
        <v>9178.6588573958725</v>
      </c>
      <c r="H97" s="121">
        <f t="shared" si="31"/>
        <v>9218.0029944819398</v>
      </c>
      <c r="I97" s="121">
        <f t="shared" si="31"/>
        <v>9258.5221665445715</v>
      </c>
      <c r="J97" s="121">
        <f t="shared" si="31"/>
        <v>9300.2388638360426</v>
      </c>
      <c r="K97" s="121">
        <f t="shared" si="31"/>
        <v>9343.1760287755169</v>
      </c>
      <c r="L97" s="121">
        <f t="shared" si="31"/>
        <v>9387.3570649898611</v>
      </c>
      <c r="M97" s="121">
        <f t="shared" si="31"/>
        <v>9432.8058465337381</v>
      </c>
      <c r="N97" s="121">
        <f t="shared" si="31"/>
        <v>9479.546727295965</v>
      </c>
      <c r="O97" s="121">
        <f t="shared" si="31"/>
        <v>9527.60455059167</v>
      </c>
      <c r="P97" s="121">
        <f t="shared" si="31"/>
        <v>9577.0046589518897</v>
      </c>
      <c r="Q97" s="121">
        <f t="shared" si="31"/>
        <v>9627.7729040945414</v>
      </c>
      <c r="R97" s="121">
        <f t="shared" si="31"/>
        <v>9679.9356571177486</v>
      </c>
      <c r="S97" s="121">
        <f t="shared" si="31"/>
        <v>9733.5198188703507</v>
      </c>
      <c r="T97" s="121">
        <f t="shared" si="31"/>
        <v>9788.5528305552434</v>
      </c>
      <c r="U97" s="121">
        <f t="shared" si="31"/>
        <v>9845.0626845264342</v>
      </c>
      <c r="V97" s="121">
        <f t="shared" si="31"/>
        <v>9903.0779353107791</v>
      </c>
      <c r="W97" s="121">
        <f t="shared" si="31"/>
        <v>9962.6277108441573</v>
      </c>
      <c r="X97" s="121">
        <f t="shared" si="31"/>
        <v>10023.741723944433</v>
      </c>
    </row>
    <row r="98" spans="1:24" x14ac:dyDescent="0.2">
      <c r="A98" s="21"/>
      <c r="B98" s="21"/>
      <c r="C98" s="21"/>
      <c r="D98" s="50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</row>
    <row r="99" spans="1:24" x14ac:dyDescent="0.2">
      <c r="A99" s="123" t="s">
        <v>103</v>
      </c>
      <c r="B99" s="4"/>
      <c r="C99" s="4"/>
      <c r="D99" s="5"/>
      <c r="E99" s="6">
        <f>E86</f>
        <v>41609</v>
      </c>
      <c r="F99" s="6">
        <f t="shared" ref="F99:X99" si="32">F86</f>
        <v>41974</v>
      </c>
      <c r="G99" s="6">
        <f t="shared" si="32"/>
        <v>42339</v>
      </c>
      <c r="H99" s="6">
        <f t="shared" si="32"/>
        <v>42705</v>
      </c>
      <c r="I99" s="6">
        <f t="shared" si="32"/>
        <v>43070</v>
      </c>
      <c r="J99" s="6">
        <f t="shared" si="32"/>
        <v>43435</v>
      </c>
      <c r="K99" s="6">
        <f t="shared" si="32"/>
        <v>43800</v>
      </c>
      <c r="L99" s="6">
        <f t="shared" si="32"/>
        <v>44166</v>
      </c>
      <c r="M99" s="6">
        <f t="shared" si="32"/>
        <v>44531</v>
      </c>
      <c r="N99" s="6">
        <f t="shared" si="32"/>
        <v>44896</v>
      </c>
      <c r="O99" s="6">
        <f t="shared" si="32"/>
        <v>45261</v>
      </c>
      <c r="P99" s="6">
        <f t="shared" si="32"/>
        <v>45627</v>
      </c>
      <c r="Q99" s="6">
        <f t="shared" si="32"/>
        <v>45992</v>
      </c>
      <c r="R99" s="6">
        <f t="shared" si="32"/>
        <v>46357</v>
      </c>
      <c r="S99" s="6">
        <f t="shared" si="32"/>
        <v>46722</v>
      </c>
      <c r="T99" s="6">
        <f t="shared" si="32"/>
        <v>47088</v>
      </c>
      <c r="U99" s="6">
        <f t="shared" si="32"/>
        <v>47453</v>
      </c>
      <c r="V99" s="6">
        <f t="shared" si="32"/>
        <v>47818</v>
      </c>
      <c r="W99" s="6">
        <f t="shared" si="32"/>
        <v>48183</v>
      </c>
      <c r="X99" s="6">
        <f t="shared" si="32"/>
        <v>48549</v>
      </c>
    </row>
    <row r="100" spans="1:24" x14ac:dyDescent="0.2">
      <c r="A100" s="81" t="s">
        <v>57</v>
      </c>
      <c r="B100" s="41"/>
      <c r="C100" s="41"/>
      <c r="D100" s="82" t="s">
        <v>84</v>
      </c>
      <c r="E100" s="83">
        <v>84.39862020999999</v>
      </c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</row>
    <row r="101" spans="1:24" x14ac:dyDescent="0.2">
      <c r="A101" s="92" t="s">
        <v>104</v>
      </c>
      <c r="B101" s="20"/>
      <c r="C101" s="20"/>
      <c r="D101" s="93" t="s">
        <v>84</v>
      </c>
      <c r="E101" s="94">
        <f>-E100/H4</f>
        <v>-4.2199310104999999</v>
      </c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</row>
    <row r="102" spans="1:24" x14ac:dyDescent="0.2">
      <c r="A102" s="87" t="s">
        <v>105</v>
      </c>
      <c r="B102" s="12"/>
      <c r="C102" s="12"/>
      <c r="D102" s="88" t="s">
        <v>84</v>
      </c>
      <c r="E102" s="13">
        <f>E100+E101</f>
        <v>80.178689199499985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</row>
    <row r="103" spans="1:24" x14ac:dyDescent="0.2">
      <c r="A103" s="62"/>
      <c r="B103" s="21"/>
      <c r="C103" s="21"/>
      <c r="D103" s="50"/>
      <c r="E103" s="39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</row>
    <row r="104" spans="1:24" x14ac:dyDescent="0.2">
      <c r="A104" s="81" t="s">
        <v>59</v>
      </c>
      <c r="B104" s="41"/>
      <c r="C104" s="41"/>
      <c r="D104" s="82" t="s">
        <v>84</v>
      </c>
      <c r="E104" s="83">
        <v>23.124189110000003</v>
      </c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</row>
    <row r="105" spans="1:24" x14ac:dyDescent="0.2">
      <c r="A105" s="92" t="s">
        <v>104</v>
      </c>
      <c r="B105" s="20"/>
      <c r="C105" s="20"/>
      <c r="D105" s="93" t="s">
        <v>84</v>
      </c>
      <c r="E105" s="94">
        <f>-E104/H4</f>
        <v>-1.1562094555000002</v>
      </c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</row>
    <row r="106" spans="1:24" x14ac:dyDescent="0.2">
      <c r="A106" s="87" t="s">
        <v>105</v>
      </c>
      <c r="B106" s="12"/>
      <c r="C106" s="12"/>
      <c r="D106" s="88" t="s">
        <v>84</v>
      </c>
      <c r="E106" s="13">
        <f>E104+E105</f>
        <v>21.967979654500002</v>
      </c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</row>
    <row r="107" spans="1:24" x14ac:dyDescent="0.2">
      <c r="A107" s="21"/>
      <c r="B107" s="21"/>
      <c r="C107" s="2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1:24" x14ac:dyDescent="0.2">
      <c r="A108" s="4" t="s">
        <v>106</v>
      </c>
      <c r="B108" s="4"/>
      <c r="C108" s="4"/>
      <c r="D108" s="5"/>
      <c r="E108" s="6">
        <f>E99</f>
        <v>41609</v>
      </c>
      <c r="F108" s="6">
        <f t="shared" ref="F108:X108" si="33">F99</f>
        <v>41974</v>
      </c>
      <c r="G108" s="6">
        <f t="shared" si="33"/>
        <v>42339</v>
      </c>
      <c r="H108" s="6">
        <f t="shared" si="33"/>
        <v>42705</v>
      </c>
      <c r="I108" s="6">
        <f t="shared" si="33"/>
        <v>43070</v>
      </c>
      <c r="J108" s="6">
        <f t="shared" si="33"/>
        <v>43435</v>
      </c>
      <c r="K108" s="6">
        <f t="shared" si="33"/>
        <v>43800</v>
      </c>
      <c r="L108" s="6">
        <f t="shared" si="33"/>
        <v>44166</v>
      </c>
      <c r="M108" s="6">
        <f t="shared" si="33"/>
        <v>44531</v>
      </c>
      <c r="N108" s="6">
        <f t="shared" si="33"/>
        <v>44896</v>
      </c>
      <c r="O108" s="6">
        <f t="shared" si="33"/>
        <v>45261</v>
      </c>
      <c r="P108" s="6">
        <f t="shared" si="33"/>
        <v>45627</v>
      </c>
      <c r="Q108" s="6">
        <f t="shared" si="33"/>
        <v>45992</v>
      </c>
      <c r="R108" s="6">
        <f t="shared" si="33"/>
        <v>46357</v>
      </c>
      <c r="S108" s="6">
        <f t="shared" si="33"/>
        <v>46722</v>
      </c>
      <c r="T108" s="6">
        <f t="shared" si="33"/>
        <v>47088</v>
      </c>
      <c r="U108" s="6">
        <f t="shared" si="33"/>
        <v>47453</v>
      </c>
      <c r="V108" s="6">
        <f t="shared" si="33"/>
        <v>47818</v>
      </c>
      <c r="W108" s="6">
        <f t="shared" si="33"/>
        <v>48183</v>
      </c>
      <c r="X108" s="6">
        <f t="shared" si="33"/>
        <v>48549</v>
      </c>
    </row>
    <row r="109" spans="1:24" x14ac:dyDescent="0.2">
      <c r="A109" s="21"/>
      <c r="B109" s="21"/>
      <c r="C109" s="21"/>
      <c r="D109" s="50"/>
      <c r="E109" s="39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1:24" x14ac:dyDescent="0.2">
      <c r="A110" s="21" t="s">
        <v>88</v>
      </c>
      <c r="B110" s="21"/>
      <c r="C110" s="21"/>
      <c r="D110" s="50" t="s">
        <v>84</v>
      </c>
      <c r="E110" s="39">
        <f t="shared" ref="E110:X110" si="34">+E74</f>
        <v>13381721.619867496</v>
      </c>
      <c r="F110" s="39">
        <f t="shared" si="34"/>
        <v>13326117.107975069</v>
      </c>
      <c r="G110" s="39">
        <f t="shared" si="34"/>
        <v>13270280.266592573</v>
      </c>
      <c r="H110" s="39">
        <f t="shared" si="34"/>
        <v>13214204.081709478</v>
      </c>
      <c r="I110" s="39">
        <f t="shared" si="34"/>
        <v>13157881.405196335</v>
      </c>
      <c r="J110" s="39">
        <f t="shared" si="34"/>
        <v>13101304.952107996</v>
      </c>
      <c r="K110" s="39">
        <f t="shared" si="34"/>
        <v>13044467.297932945</v>
      </c>
      <c r="L110" s="39">
        <f t="shared" si="34"/>
        <v>12987360.87578759</v>
      </c>
      <c r="M110" s="39">
        <f t="shared" si="34"/>
        <v>12929977.973554509</v>
      </c>
      <c r="N110" s="39">
        <f t="shared" si="34"/>
        <v>12872310.730963461</v>
      </c>
      <c r="O110" s="39">
        <f t="shared" si="34"/>
        <v>12814351.136614025</v>
      </c>
      <c r="P110" s="39">
        <f t="shared" si="34"/>
        <v>12756091.024938736</v>
      </c>
      <c r="Q110" s="39">
        <f t="shared" si="34"/>
        <v>12697522.073105492</v>
      </c>
      <c r="R110" s="39">
        <f t="shared" si="34"/>
        <v>12638635.79785803</v>
      </c>
      <c r="S110" s="39">
        <f t="shared" si="34"/>
        <v>12579423.552293235</v>
      </c>
      <c r="T110" s="39">
        <f t="shared" si="34"/>
        <v>12519876.522574022</v>
      </c>
      <c r="U110" s="39">
        <f t="shared" si="34"/>
        <v>12459985.724576484</v>
      </c>
      <c r="V110" s="39">
        <f t="shared" si="34"/>
        <v>12399742.000470012</v>
      </c>
      <c r="W110" s="39">
        <f t="shared" si="34"/>
        <v>12339136.015229043</v>
      </c>
      <c r="X110" s="39">
        <f t="shared" si="34"/>
        <v>12278158.253075048</v>
      </c>
    </row>
    <row r="111" spans="1:24" x14ac:dyDescent="0.2">
      <c r="A111" s="21" t="s">
        <v>107</v>
      </c>
      <c r="B111" s="21"/>
      <c r="C111" s="21"/>
      <c r="D111" s="50" t="s">
        <v>84</v>
      </c>
      <c r="E111" s="39">
        <f>E97</f>
        <v>-2199735.0608001361</v>
      </c>
      <c r="F111" s="39">
        <f t="shared" ref="F111:X111" si="35">F97</f>
        <v>9140.4677083441056</v>
      </c>
      <c r="G111" s="39">
        <f t="shared" si="35"/>
        <v>9178.6588573958725</v>
      </c>
      <c r="H111" s="39">
        <f t="shared" si="35"/>
        <v>9218.0029944819398</v>
      </c>
      <c r="I111" s="39">
        <f t="shared" si="35"/>
        <v>9258.5221665445715</v>
      </c>
      <c r="J111" s="39">
        <f t="shared" si="35"/>
        <v>9300.2388638360426</v>
      </c>
      <c r="K111" s="39">
        <f t="shared" si="35"/>
        <v>9343.1760287755169</v>
      </c>
      <c r="L111" s="39">
        <f t="shared" si="35"/>
        <v>9387.3570649898611</v>
      </c>
      <c r="M111" s="39">
        <f t="shared" si="35"/>
        <v>9432.8058465337381</v>
      </c>
      <c r="N111" s="39">
        <f t="shared" si="35"/>
        <v>9479.546727295965</v>
      </c>
      <c r="O111" s="39">
        <f t="shared" si="35"/>
        <v>9527.60455059167</v>
      </c>
      <c r="P111" s="39">
        <f t="shared" si="35"/>
        <v>9577.0046589518897</v>
      </c>
      <c r="Q111" s="39">
        <f t="shared" si="35"/>
        <v>9627.7729040945414</v>
      </c>
      <c r="R111" s="39">
        <f t="shared" si="35"/>
        <v>9679.9356571177486</v>
      </c>
      <c r="S111" s="39">
        <f t="shared" si="35"/>
        <v>9733.5198188703507</v>
      </c>
      <c r="T111" s="39">
        <f t="shared" si="35"/>
        <v>9788.5528305552434</v>
      </c>
      <c r="U111" s="39">
        <f t="shared" si="35"/>
        <v>9845.0626845264342</v>
      </c>
      <c r="V111" s="39">
        <f t="shared" si="35"/>
        <v>9903.0779353107791</v>
      </c>
      <c r="W111" s="39">
        <f t="shared" si="35"/>
        <v>9962.6277108441573</v>
      </c>
      <c r="X111" s="39">
        <f t="shared" si="35"/>
        <v>10023.741723944433</v>
      </c>
    </row>
    <row r="112" spans="1:24" x14ac:dyDescent="0.2">
      <c r="A112" s="126" t="s">
        <v>108</v>
      </c>
      <c r="B112" s="127"/>
      <c r="C112" s="127"/>
      <c r="D112" s="82" t="s">
        <v>84</v>
      </c>
      <c r="E112" s="83">
        <f>SUM(E110:E111)</f>
        <v>11181986.559067361</v>
      </c>
      <c r="F112" s="83">
        <f t="shared" ref="F112:X112" si="36">SUM(F110:F111)</f>
        <v>13335257.575683413</v>
      </c>
      <c r="G112" s="83">
        <f t="shared" si="36"/>
        <v>13279458.925449969</v>
      </c>
      <c r="H112" s="83">
        <f t="shared" si="36"/>
        <v>13223422.08470396</v>
      </c>
      <c r="I112" s="83">
        <f t="shared" si="36"/>
        <v>13167139.92736288</v>
      </c>
      <c r="J112" s="83">
        <f t="shared" si="36"/>
        <v>13110605.190971833</v>
      </c>
      <c r="K112" s="83">
        <f t="shared" si="36"/>
        <v>13053810.47396172</v>
      </c>
      <c r="L112" s="83">
        <f t="shared" si="36"/>
        <v>12996748.23285258</v>
      </c>
      <c r="M112" s="83">
        <f t="shared" si="36"/>
        <v>12939410.779401042</v>
      </c>
      <c r="N112" s="83">
        <f t="shared" si="36"/>
        <v>12881790.277690757</v>
      </c>
      <c r="O112" s="83">
        <f t="shared" si="36"/>
        <v>12823878.741164617</v>
      </c>
      <c r="P112" s="83">
        <f t="shared" si="36"/>
        <v>12765668.029597688</v>
      </c>
      <c r="Q112" s="83">
        <f t="shared" si="36"/>
        <v>12707149.846009586</v>
      </c>
      <c r="R112" s="83">
        <f t="shared" si="36"/>
        <v>12648315.733515147</v>
      </c>
      <c r="S112" s="83">
        <f t="shared" si="36"/>
        <v>12589157.072112106</v>
      </c>
      <c r="T112" s="83">
        <f t="shared" si="36"/>
        <v>12529665.075404577</v>
      </c>
      <c r="U112" s="83">
        <f t="shared" si="36"/>
        <v>12469830.787261011</v>
      </c>
      <c r="V112" s="83">
        <f t="shared" si="36"/>
        <v>12409645.078405323</v>
      </c>
      <c r="W112" s="83">
        <f t="shared" si="36"/>
        <v>12349098.642939886</v>
      </c>
      <c r="X112" s="83">
        <f t="shared" si="36"/>
        <v>12288181.994798992</v>
      </c>
    </row>
    <row r="113" spans="1:24" x14ac:dyDescent="0.2">
      <c r="A113" s="128"/>
      <c r="B113" s="15"/>
      <c r="C113" s="15"/>
      <c r="D113" s="50"/>
      <c r="E113" s="12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1:24" x14ac:dyDescent="0.2">
      <c r="A114" s="4" t="s">
        <v>109</v>
      </c>
      <c r="B114" s="4"/>
      <c r="C114" s="4"/>
      <c r="D114" s="5"/>
      <c r="E114" s="6">
        <f>E108</f>
        <v>41609</v>
      </c>
      <c r="F114" s="6">
        <f t="shared" ref="F114:X114" si="37">F108</f>
        <v>41974</v>
      </c>
      <c r="G114" s="6">
        <f t="shared" si="37"/>
        <v>42339</v>
      </c>
      <c r="H114" s="6">
        <f t="shared" si="37"/>
        <v>42705</v>
      </c>
      <c r="I114" s="6">
        <f t="shared" si="37"/>
        <v>43070</v>
      </c>
      <c r="J114" s="6">
        <f t="shared" si="37"/>
        <v>43435</v>
      </c>
      <c r="K114" s="6">
        <f t="shared" si="37"/>
        <v>43800</v>
      </c>
      <c r="L114" s="6">
        <f t="shared" si="37"/>
        <v>44166</v>
      </c>
      <c r="M114" s="6">
        <f t="shared" si="37"/>
        <v>44531</v>
      </c>
      <c r="N114" s="6">
        <f t="shared" si="37"/>
        <v>44896</v>
      </c>
      <c r="O114" s="6">
        <f t="shared" si="37"/>
        <v>45261</v>
      </c>
      <c r="P114" s="6">
        <f t="shared" si="37"/>
        <v>45627</v>
      </c>
      <c r="Q114" s="6">
        <f t="shared" si="37"/>
        <v>45992</v>
      </c>
      <c r="R114" s="6">
        <f t="shared" si="37"/>
        <v>46357</v>
      </c>
      <c r="S114" s="6">
        <f t="shared" si="37"/>
        <v>46722</v>
      </c>
      <c r="T114" s="6">
        <f t="shared" si="37"/>
        <v>47088</v>
      </c>
      <c r="U114" s="6">
        <f t="shared" si="37"/>
        <v>47453</v>
      </c>
      <c r="V114" s="6">
        <f t="shared" si="37"/>
        <v>47818</v>
      </c>
      <c r="W114" s="6">
        <f t="shared" si="37"/>
        <v>48183</v>
      </c>
      <c r="X114" s="6">
        <f t="shared" si="37"/>
        <v>48549</v>
      </c>
    </row>
    <row r="115" spans="1:24" x14ac:dyDescent="0.2">
      <c r="A115" s="62" t="s">
        <v>110</v>
      </c>
      <c r="B115" s="21"/>
      <c r="C115" s="21"/>
      <c r="D115" s="50" t="s">
        <v>82</v>
      </c>
      <c r="E115" s="110">
        <f>-E120*$M$23*$M$24</f>
        <v>-1700107.6518441117</v>
      </c>
      <c r="F115" s="110">
        <f t="shared" ref="F115:X115" si="38">-F120*$M$23*$M$24</f>
        <v>-1615102.2692519063</v>
      </c>
      <c r="G115" s="110">
        <f t="shared" si="38"/>
        <v>-1530096.8866597009</v>
      </c>
      <c r="H115" s="110">
        <f t="shared" si="38"/>
        <v>-1445091.5040674952</v>
      </c>
      <c r="I115" s="110">
        <f t="shared" si="38"/>
        <v>-1360086.1214752896</v>
      </c>
      <c r="J115" s="110">
        <f t="shared" si="38"/>
        <v>-1275080.7388830842</v>
      </c>
      <c r="K115" s="110">
        <f t="shared" si="38"/>
        <v>-1190075.3562908785</v>
      </c>
      <c r="L115" s="110">
        <f t="shared" si="38"/>
        <v>-1105069.9736986726</v>
      </c>
      <c r="M115" s="110">
        <f t="shared" si="38"/>
        <v>-1020064.5911064672</v>
      </c>
      <c r="N115" s="110">
        <f t="shared" si="38"/>
        <v>-935059.20851426153</v>
      </c>
      <c r="O115" s="110">
        <f t="shared" si="38"/>
        <v>-850053.82592205587</v>
      </c>
      <c r="P115" s="110">
        <f t="shared" si="38"/>
        <v>-765048.44332985033</v>
      </c>
      <c r="Q115" s="110">
        <f t="shared" si="38"/>
        <v>-680043.06073764467</v>
      </c>
      <c r="R115" s="110">
        <f t="shared" si="38"/>
        <v>-595037.67814543913</v>
      </c>
      <c r="S115" s="110">
        <f t="shared" si="38"/>
        <v>-510032.29555323336</v>
      </c>
      <c r="T115" s="110">
        <f t="shared" si="38"/>
        <v>-425026.91296102776</v>
      </c>
      <c r="U115" s="110">
        <f t="shared" si="38"/>
        <v>-340021.53036882216</v>
      </c>
      <c r="V115" s="110">
        <f t="shared" si="38"/>
        <v>-255016.14777661665</v>
      </c>
      <c r="W115" s="110">
        <f t="shared" si="38"/>
        <v>-170010.76518441105</v>
      </c>
      <c r="X115" s="110">
        <f t="shared" si="38"/>
        <v>-85005.382592205438</v>
      </c>
    </row>
    <row r="116" spans="1:24" x14ac:dyDescent="0.2">
      <c r="A116" s="62" t="s">
        <v>111</v>
      </c>
      <c r="B116" s="21"/>
      <c r="C116" s="21"/>
      <c r="D116" s="50" t="s">
        <v>84</v>
      </c>
      <c r="E116" s="110">
        <f>-E120*(1-$I$12)*($I$9+$I$10)</f>
        <v>-399587.0162759159</v>
      </c>
      <c r="F116" s="110">
        <f t="shared" ref="F116:X116" si="39">-F120*(1-$I$12)*($I$9+$I$10)</f>
        <v>-379607.66546212009</v>
      </c>
      <c r="G116" s="110">
        <f t="shared" si="39"/>
        <v>-359628.31464832439</v>
      </c>
      <c r="H116" s="110">
        <f t="shared" si="39"/>
        <v>-339648.96383452858</v>
      </c>
      <c r="I116" s="110">
        <f t="shared" si="39"/>
        <v>-319669.61302073277</v>
      </c>
      <c r="J116" s="110">
        <f t="shared" si="39"/>
        <v>-299690.26220693695</v>
      </c>
      <c r="K116" s="110">
        <f t="shared" si="39"/>
        <v>-279710.9113931412</v>
      </c>
      <c r="L116" s="110">
        <f t="shared" si="39"/>
        <v>-259731.56057934536</v>
      </c>
      <c r="M116" s="110">
        <f t="shared" si="39"/>
        <v>-239752.20976554957</v>
      </c>
      <c r="N116" s="110">
        <f t="shared" si="39"/>
        <v>-219772.85895175376</v>
      </c>
      <c r="O116" s="110">
        <f t="shared" si="39"/>
        <v>-199793.50813795795</v>
      </c>
      <c r="P116" s="110">
        <f t="shared" si="39"/>
        <v>-179814.15732416214</v>
      </c>
      <c r="Q116" s="110">
        <f t="shared" si="39"/>
        <v>-159834.80651036635</v>
      </c>
      <c r="R116" s="110">
        <f t="shared" si="39"/>
        <v>-139855.45569657054</v>
      </c>
      <c r="S116" s="110">
        <f t="shared" si="39"/>
        <v>-119876.10488277474</v>
      </c>
      <c r="T116" s="110">
        <f t="shared" si="39"/>
        <v>-99896.754068978931</v>
      </c>
      <c r="U116" s="110">
        <f t="shared" si="39"/>
        <v>-79917.403255183148</v>
      </c>
      <c r="V116" s="110">
        <f t="shared" si="39"/>
        <v>-59938.052441387343</v>
      </c>
      <c r="W116" s="110">
        <f t="shared" si="39"/>
        <v>-39958.701627591552</v>
      </c>
      <c r="X116" s="110">
        <f t="shared" si="39"/>
        <v>-19979.350813795761</v>
      </c>
    </row>
    <row r="117" spans="1:24" x14ac:dyDescent="0.2">
      <c r="A117" s="62" t="s">
        <v>112</v>
      </c>
      <c r="B117" s="21"/>
      <c r="C117" s="21"/>
      <c r="D117" s="50" t="s">
        <v>84</v>
      </c>
      <c r="E117" s="39">
        <f>IF(E120&gt;0,-5*0.015,0)</f>
        <v>-7.4999999999999997E-2</v>
      </c>
      <c r="F117" s="39">
        <f t="shared" ref="F117:X117" si="40">IF(F120&gt;0,-5*0.015,0)</f>
        <v>-7.4999999999999997E-2</v>
      </c>
      <c r="G117" s="39">
        <f t="shared" si="40"/>
        <v>-7.4999999999999997E-2</v>
      </c>
      <c r="H117" s="39">
        <f t="shared" si="40"/>
        <v>-7.4999999999999997E-2</v>
      </c>
      <c r="I117" s="39">
        <f t="shared" si="40"/>
        <v>-7.4999999999999997E-2</v>
      </c>
      <c r="J117" s="39">
        <f t="shared" si="40"/>
        <v>-7.4999999999999997E-2</v>
      </c>
      <c r="K117" s="39">
        <f t="shared" si="40"/>
        <v>-7.4999999999999997E-2</v>
      </c>
      <c r="L117" s="39">
        <f t="shared" si="40"/>
        <v>-7.4999999999999997E-2</v>
      </c>
      <c r="M117" s="39">
        <f t="shared" si="40"/>
        <v>-7.4999999999999997E-2</v>
      </c>
      <c r="N117" s="39">
        <f t="shared" si="40"/>
        <v>-7.4999999999999997E-2</v>
      </c>
      <c r="O117" s="39">
        <f t="shared" si="40"/>
        <v>-7.4999999999999997E-2</v>
      </c>
      <c r="P117" s="39">
        <f t="shared" si="40"/>
        <v>-7.4999999999999997E-2</v>
      </c>
      <c r="Q117" s="39">
        <f t="shared" si="40"/>
        <v>-7.4999999999999997E-2</v>
      </c>
      <c r="R117" s="39">
        <f t="shared" si="40"/>
        <v>-7.4999999999999997E-2</v>
      </c>
      <c r="S117" s="39">
        <f t="shared" si="40"/>
        <v>-7.4999999999999997E-2</v>
      </c>
      <c r="T117" s="39">
        <f t="shared" si="40"/>
        <v>-7.4999999999999997E-2</v>
      </c>
      <c r="U117" s="39">
        <f t="shared" si="40"/>
        <v>-7.4999999999999997E-2</v>
      </c>
      <c r="V117" s="39">
        <f t="shared" si="40"/>
        <v>-7.4999999999999997E-2</v>
      </c>
      <c r="W117" s="39">
        <f t="shared" si="40"/>
        <v>-7.4999999999999997E-2</v>
      </c>
      <c r="X117" s="39">
        <f t="shared" si="40"/>
        <v>-7.4999999999999997E-2</v>
      </c>
    </row>
    <row r="118" spans="1:24" x14ac:dyDescent="0.2">
      <c r="A118" s="126" t="s">
        <v>92</v>
      </c>
      <c r="B118" s="41"/>
      <c r="C118" s="41"/>
      <c r="D118" s="82" t="s">
        <v>84</v>
      </c>
      <c r="E118" s="130">
        <f>E115+E116+E117</f>
        <v>-2099694.7431200277</v>
      </c>
      <c r="F118" s="130">
        <f t="shared" ref="F118:X118" si="41">F115+F116+F117</f>
        <v>-1994710.0097140262</v>
      </c>
      <c r="G118" s="130">
        <f t="shared" si="41"/>
        <v>-1889725.2763080252</v>
      </c>
      <c r="H118" s="130">
        <f t="shared" si="41"/>
        <v>-1784740.5429020238</v>
      </c>
      <c r="I118" s="130">
        <f t="shared" si="41"/>
        <v>-1679755.8094960223</v>
      </c>
      <c r="J118" s="130">
        <f t="shared" si="41"/>
        <v>-1574771.0760900211</v>
      </c>
      <c r="K118" s="130">
        <f t="shared" si="41"/>
        <v>-1469786.3426840196</v>
      </c>
      <c r="L118" s="130">
        <f t="shared" si="41"/>
        <v>-1364801.6092780179</v>
      </c>
      <c r="M118" s="130">
        <f t="shared" si="41"/>
        <v>-1259816.8758720167</v>
      </c>
      <c r="N118" s="130">
        <f t="shared" si="41"/>
        <v>-1154832.1424660152</v>
      </c>
      <c r="O118" s="130">
        <f t="shared" si="41"/>
        <v>-1049847.4090600137</v>
      </c>
      <c r="P118" s="130">
        <f t="shared" si="41"/>
        <v>-944862.67565401248</v>
      </c>
      <c r="Q118" s="130">
        <f t="shared" si="41"/>
        <v>-839877.94224801101</v>
      </c>
      <c r="R118" s="130">
        <f t="shared" si="41"/>
        <v>-734893.20884200966</v>
      </c>
      <c r="S118" s="130">
        <f t="shared" si="41"/>
        <v>-629908.47543600807</v>
      </c>
      <c r="T118" s="130">
        <f t="shared" si="41"/>
        <v>-524923.7420300066</v>
      </c>
      <c r="U118" s="130">
        <f t="shared" si="41"/>
        <v>-419939.00862400531</v>
      </c>
      <c r="V118" s="130">
        <f t="shared" si="41"/>
        <v>-314954.27521800401</v>
      </c>
      <c r="W118" s="130">
        <f t="shared" si="41"/>
        <v>-209969.5418120026</v>
      </c>
      <c r="X118" s="130">
        <f t="shared" si="41"/>
        <v>-104984.8084060012</v>
      </c>
    </row>
    <row r="119" spans="1:24" x14ac:dyDescent="0.2">
      <c r="A119" s="128"/>
      <c r="B119" s="21"/>
      <c r="C119" s="21"/>
      <c r="D119" s="50"/>
      <c r="E119" s="39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1:24" x14ac:dyDescent="0.2">
      <c r="A120" s="81" t="s">
        <v>113</v>
      </c>
      <c r="B120" s="41"/>
      <c r="C120" s="82"/>
      <c r="D120" s="82" t="s">
        <v>84</v>
      </c>
      <c r="E120" s="131">
        <f>M17*1000000</f>
        <v>75265966.523999989</v>
      </c>
      <c r="F120" s="131">
        <f>E122</f>
        <v>71502668.197799996</v>
      </c>
      <c r="G120" s="131">
        <f t="shared" ref="G120:X120" si="42">F122</f>
        <v>67739369.871600002</v>
      </c>
      <c r="H120" s="131">
        <f t="shared" si="42"/>
        <v>63976071.545400001</v>
      </c>
      <c r="I120" s="131">
        <f t="shared" si="42"/>
        <v>60212773.2192</v>
      </c>
      <c r="J120" s="131">
        <f t="shared" si="42"/>
        <v>56449474.892999999</v>
      </c>
      <c r="K120" s="131">
        <f t="shared" si="42"/>
        <v>52686176.566799998</v>
      </c>
      <c r="L120" s="131">
        <f t="shared" si="42"/>
        <v>48922878.240599997</v>
      </c>
      <c r="M120" s="131">
        <f t="shared" si="42"/>
        <v>45159579.914399996</v>
      </c>
      <c r="N120" s="131">
        <f t="shared" si="42"/>
        <v>41396281.588199995</v>
      </c>
      <c r="O120" s="131">
        <f t="shared" si="42"/>
        <v>37632983.261999995</v>
      </c>
      <c r="P120" s="131">
        <f t="shared" si="42"/>
        <v>33869684.935799994</v>
      </c>
      <c r="Q120" s="131">
        <f t="shared" si="42"/>
        <v>30106386.609599993</v>
      </c>
      <c r="R120" s="131">
        <f t="shared" si="42"/>
        <v>26343088.283399992</v>
      </c>
      <c r="S120" s="131">
        <f t="shared" si="42"/>
        <v>22579789.957199991</v>
      </c>
      <c r="T120" s="131">
        <f t="shared" si="42"/>
        <v>18816491.63099999</v>
      </c>
      <c r="U120" s="131">
        <f t="shared" si="42"/>
        <v>15053193.304799991</v>
      </c>
      <c r="V120" s="131">
        <f t="shared" si="42"/>
        <v>11289894.978599992</v>
      </c>
      <c r="W120" s="131">
        <f t="shared" si="42"/>
        <v>7526596.6523999926</v>
      </c>
      <c r="X120" s="131">
        <f t="shared" si="42"/>
        <v>3763298.326199993</v>
      </c>
    </row>
    <row r="121" spans="1:24" x14ac:dyDescent="0.2">
      <c r="A121" s="32" t="s">
        <v>114</v>
      </c>
      <c r="B121" s="20"/>
      <c r="C121" s="93"/>
      <c r="D121" s="93" t="s">
        <v>84</v>
      </c>
      <c r="E121" s="132">
        <f>-E120*5%</f>
        <v>-3763298.3261999995</v>
      </c>
      <c r="F121" s="132">
        <f>E121</f>
        <v>-3763298.3261999995</v>
      </c>
      <c r="G121" s="132">
        <f t="shared" ref="G121:X121" si="43">F121</f>
        <v>-3763298.3261999995</v>
      </c>
      <c r="H121" s="132">
        <f t="shared" si="43"/>
        <v>-3763298.3261999995</v>
      </c>
      <c r="I121" s="132">
        <f t="shared" si="43"/>
        <v>-3763298.3261999995</v>
      </c>
      <c r="J121" s="132">
        <f t="shared" si="43"/>
        <v>-3763298.3261999995</v>
      </c>
      <c r="K121" s="132">
        <f t="shared" si="43"/>
        <v>-3763298.3261999995</v>
      </c>
      <c r="L121" s="132">
        <f t="shared" si="43"/>
        <v>-3763298.3261999995</v>
      </c>
      <c r="M121" s="132">
        <f t="shared" si="43"/>
        <v>-3763298.3261999995</v>
      </c>
      <c r="N121" s="132">
        <f t="shared" si="43"/>
        <v>-3763298.3261999995</v>
      </c>
      <c r="O121" s="132">
        <f t="shared" si="43"/>
        <v>-3763298.3261999995</v>
      </c>
      <c r="P121" s="132">
        <f t="shared" si="43"/>
        <v>-3763298.3261999995</v>
      </c>
      <c r="Q121" s="132">
        <f t="shared" si="43"/>
        <v>-3763298.3261999995</v>
      </c>
      <c r="R121" s="132">
        <f t="shared" si="43"/>
        <v>-3763298.3261999995</v>
      </c>
      <c r="S121" s="132">
        <f t="shared" si="43"/>
        <v>-3763298.3261999995</v>
      </c>
      <c r="T121" s="132">
        <f t="shared" si="43"/>
        <v>-3763298.3261999995</v>
      </c>
      <c r="U121" s="132">
        <f t="shared" si="43"/>
        <v>-3763298.3261999995</v>
      </c>
      <c r="V121" s="132">
        <f t="shared" si="43"/>
        <v>-3763298.3261999995</v>
      </c>
      <c r="W121" s="132">
        <f t="shared" si="43"/>
        <v>-3763298.3261999995</v>
      </c>
      <c r="X121" s="132">
        <f t="shared" si="43"/>
        <v>-3763298.3261999995</v>
      </c>
    </row>
    <row r="122" spans="1:24" x14ac:dyDescent="0.2">
      <c r="A122" s="87" t="s">
        <v>115</v>
      </c>
      <c r="B122" s="12"/>
      <c r="C122" s="88"/>
      <c r="D122" s="88" t="s">
        <v>84</v>
      </c>
      <c r="E122" s="133">
        <f>E120+E121</f>
        <v>71502668.197799996</v>
      </c>
      <c r="F122" s="133">
        <f t="shared" ref="F122:X122" si="44">F120+F121</f>
        <v>67739369.871600002</v>
      </c>
      <c r="G122" s="133">
        <f t="shared" si="44"/>
        <v>63976071.545400001</v>
      </c>
      <c r="H122" s="133">
        <f t="shared" si="44"/>
        <v>60212773.2192</v>
      </c>
      <c r="I122" s="133">
        <f t="shared" si="44"/>
        <v>56449474.892999999</v>
      </c>
      <c r="J122" s="133">
        <f t="shared" si="44"/>
        <v>52686176.566799998</v>
      </c>
      <c r="K122" s="133">
        <f t="shared" si="44"/>
        <v>48922878.240599997</v>
      </c>
      <c r="L122" s="133">
        <f t="shared" si="44"/>
        <v>45159579.914399996</v>
      </c>
      <c r="M122" s="133">
        <f t="shared" si="44"/>
        <v>41396281.588199995</v>
      </c>
      <c r="N122" s="133">
        <f t="shared" si="44"/>
        <v>37632983.261999995</v>
      </c>
      <c r="O122" s="133">
        <f t="shared" si="44"/>
        <v>33869684.935799994</v>
      </c>
      <c r="P122" s="133">
        <f t="shared" si="44"/>
        <v>30106386.609599993</v>
      </c>
      <c r="Q122" s="133">
        <f t="shared" si="44"/>
        <v>26343088.283399992</v>
      </c>
      <c r="R122" s="133">
        <f t="shared" si="44"/>
        <v>22579789.957199991</v>
      </c>
      <c r="S122" s="133">
        <f t="shared" si="44"/>
        <v>18816491.63099999</v>
      </c>
      <c r="T122" s="133">
        <f t="shared" si="44"/>
        <v>15053193.304799991</v>
      </c>
      <c r="U122" s="133">
        <f t="shared" si="44"/>
        <v>11289894.978599992</v>
      </c>
      <c r="V122" s="133">
        <f t="shared" si="44"/>
        <v>7526596.6523999926</v>
      </c>
      <c r="W122" s="133">
        <f t="shared" si="44"/>
        <v>3763298.326199993</v>
      </c>
      <c r="X122" s="133">
        <f t="shared" si="44"/>
        <v>-6.5192580223083496E-9</v>
      </c>
    </row>
    <row r="123" spans="1:24" x14ac:dyDescent="0.2">
      <c r="A123" s="62"/>
      <c r="B123" s="21"/>
      <c r="C123" s="50"/>
      <c r="D123" s="50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</row>
    <row r="124" spans="1:24" x14ac:dyDescent="0.2">
      <c r="A124" s="15" t="s">
        <v>116</v>
      </c>
      <c r="B124" s="21"/>
      <c r="C124" s="21"/>
      <c r="D124" s="50" t="s">
        <v>84</v>
      </c>
      <c r="E124" s="39">
        <f>E118+E121</f>
        <v>-5862993.0693200268</v>
      </c>
      <c r="F124" s="39">
        <f t="shared" ref="F124:X124" si="45">F118+F121</f>
        <v>-5758008.335914026</v>
      </c>
      <c r="G124" s="39">
        <f t="shared" si="45"/>
        <v>-5653023.6025080252</v>
      </c>
      <c r="H124" s="39">
        <f t="shared" si="45"/>
        <v>-5548038.8691020235</v>
      </c>
      <c r="I124" s="39">
        <f t="shared" si="45"/>
        <v>-5443054.1356960218</v>
      </c>
      <c r="J124" s="39">
        <f t="shared" si="45"/>
        <v>-5338069.4022900201</v>
      </c>
      <c r="K124" s="39">
        <f t="shared" si="45"/>
        <v>-5233084.6688840194</v>
      </c>
      <c r="L124" s="39">
        <f t="shared" si="45"/>
        <v>-5128099.9354780177</v>
      </c>
      <c r="M124" s="39">
        <f t="shared" si="45"/>
        <v>-5023115.202072016</v>
      </c>
      <c r="N124" s="39">
        <f t="shared" si="45"/>
        <v>-4918130.4686660152</v>
      </c>
      <c r="O124" s="39">
        <f t="shared" si="45"/>
        <v>-4813145.7352600135</v>
      </c>
      <c r="P124" s="39">
        <f t="shared" si="45"/>
        <v>-4708161.0018540118</v>
      </c>
      <c r="Q124" s="39">
        <f t="shared" si="45"/>
        <v>-4603176.2684480101</v>
      </c>
      <c r="R124" s="39">
        <f t="shared" si="45"/>
        <v>-4498191.5350420093</v>
      </c>
      <c r="S124" s="39">
        <f t="shared" si="45"/>
        <v>-4393206.8016360076</v>
      </c>
      <c r="T124" s="39">
        <f t="shared" si="45"/>
        <v>-4288222.0682300059</v>
      </c>
      <c r="U124" s="39">
        <f t="shared" si="45"/>
        <v>-4183237.3348240047</v>
      </c>
      <c r="V124" s="39">
        <f t="shared" si="45"/>
        <v>-4078252.6014180034</v>
      </c>
      <c r="W124" s="39">
        <f t="shared" si="45"/>
        <v>-3973267.8680120022</v>
      </c>
      <c r="X124" s="39">
        <f t="shared" si="45"/>
        <v>-3868283.134606001</v>
      </c>
    </row>
    <row r="125" spans="1:24" x14ac:dyDescent="0.2">
      <c r="A125" s="134" t="s">
        <v>117</v>
      </c>
      <c r="B125" s="135"/>
      <c r="C125" s="135"/>
      <c r="D125" s="136"/>
      <c r="E125" s="137">
        <f>IFERROR(E112/-E124,"")</f>
        <v>1.9072146985096499</v>
      </c>
      <c r="F125" s="137">
        <f t="shared" ref="F125:X125" si="46">IFERROR(F112/-F124,"")</f>
        <v>2.3159496822031911</v>
      </c>
      <c r="G125" s="137">
        <f t="shared" si="46"/>
        <v>2.3490895950900317</v>
      </c>
      <c r="H125" s="137">
        <f t="shared" si="46"/>
        <v>2.383440779109796</v>
      </c>
      <c r="I125" s="137">
        <f t="shared" si="46"/>
        <v>2.419072013451351</v>
      </c>
      <c r="J125" s="137">
        <f t="shared" si="46"/>
        <v>2.456057462525199</v>
      </c>
      <c r="K125" s="137">
        <f t="shared" si="46"/>
        <v>2.4944772156238604</v>
      </c>
      <c r="L125" s="137">
        <f t="shared" si="46"/>
        <v>2.5344178928605618</v>
      </c>
      <c r="M125" s="137">
        <f t="shared" si="46"/>
        <v>2.5759733270826803</v>
      </c>
      <c r="N125" s="137">
        <f t="shared" si="46"/>
        <v>2.6192453331122771</v>
      </c>
      <c r="O125" s="137">
        <f t="shared" si="46"/>
        <v>2.6643445776469621</v>
      </c>
      <c r="P125" s="137">
        <f t="shared" si="46"/>
        <v>2.711391565532856</v>
      </c>
      <c r="Q125" s="137">
        <f t="shared" si="46"/>
        <v>2.7605177609880842</v>
      </c>
      <c r="R125" s="137">
        <f t="shared" si="46"/>
        <v>2.8118668658241166</v>
      </c>
      <c r="S125" s="137">
        <f t="shared" si="46"/>
        <v>2.8655962809271736</v>
      </c>
      <c r="T125" s="137">
        <f t="shared" si="46"/>
        <v>2.9218787824055683</v>
      </c>
      <c r="U125" s="137">
        <f t="shared" si="46"/>
        <v>2.9809044501142643</v>
      </c>
      <c r="V125" s="137">
        <f t="shared" si="46"/>
        <v>3.042882894034201</v>
      </c>
      <c r="W125" s="137">
        <f t="shared" si="46"/>
        <v>3.1080458335970875</v>
      </c>
      <c r="X125" s="137">
        <f t="shared" si="46"/>
        <v>3.1766500970075939</v>
      </c>
    </row>
    <row r="126" spans="1:24" x14ac:dyDescent="0.2">
      <c r="A126" s="134"/>
      <c r="B126" s="135"/>
      <c r="C126" s="135"/>
      <c r="D126" s="13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</row>
    <row r="127" spans="1:24" x14ac:dyDescent="0.2">
      <c r="A127" s="128" t="s">
        <v>118</v>
      </c>
      <c r="B127" s="21"/>
      <c r="C127" s="50"/>
      <c r="D127" s="50" t="s">
        <v>84</v>
      </c>
      <c r="E127" s="110">
        <f>E112+E124</f>
        <v>5318993.4897473343</v>
      </c>
      <c r="F127" s="110">
        <f t="shared" ref="F127:X127" si="47">F112+F124</f>
        <v>7577249.2397693871</v>
      </c>
      <c r="G127" s="110">
        <f t="shared" si="47"/>
        <v>7626435.322941944</v>
      </c>
      <c r="H127" s="110">
        <f t="shared" si="47"/>
        <v>7675383.215601936</v>
      </c>
      <c r="I127" s="110">
        <f t="shared" si="47"/>
        <v>7724085.7916668579</v>
      </c>
      <c r="J127" s="110">
        <f t="shared" si="47"/>
        <v>7772535.7886818126</v>
      </c>
      <c r="K127" s="110">
        <f t="shared" si="47"/>
        <v>7820725.8050777009</v>
      </c>
      <c r="L127" s="110">
        <f t="shared" si="47"/>
        <v>7868648.2973745624</v>
      </c>
      <c r="M127" s="110">
        <f t="shared" si="47"/>
        <v>7916295.5773290256</v>
      </c>
      <c r="N127" s="110">
        <f t="shared" si="47"/>
        <v>7963659.8090247419</v>
      </c>
      <c r="O127" s="110">
        <f t="shared" si="47"/>
        <v>8010733.0059046037</v>
      </c>
      <c r="P127" s="110">
        <f t="shared" si="47"/>
        <v>8057507.0277436767</v>
      </c>
      <c r="Q127" s="110">
        <f t="shared" si="47"/>
        <v>8103973.5775615759</v>
      </c>
      <c r="R127" s="110">
        <f t="shared" si="47"/>
        <v>8150124.1984731378</v>
      </c>
      <c r="S127" s="110">
        <f t="shared" si="47"/>
        <v>8195950.2704760982</v>
      </c>
      <c r="T127" s="110">
        <f t="shared" si="47"/>
        <v>8241443.007174571</v>
      </c>
      <c r="U127" s="110">
        <f t="shared" si="47"/>
        <v>8286593.4524370059</v>
      </c>
      <c r="V127" s="110">
        <f t="shared" si="47"/>
        <v>8331392.4769873191</v>
      </c>
      <c r="W127" s="110">
        <f t="shared" si="47"/>
        <v>8375830.7749278843</v>
      </c>
      <c r="X127" s="110">
        <f t="shared" si="47"/>
        <v>8419898.8601929918</v>
      </c>
    </row>
    <row r="128" spans="1:24" s="138" customFormat="1" ht="12" x14ac:dyDescent="0.2">
      <c r="A128" s="138" t="s">
        <v>119</v>
      </c>
      <c r="E128" s="139" t="str">
        <f>CONCATENATE(IF(E125&gt;=1.15,IF(E125="Nul","YES","NO")))</f>
        <v>NO</v>
      </c>
      <c r="F128" s="139" t="str">
        <f t="shared" ref="F128:X128" si="48">CONCATENATE(IF(F125&gt;=1.15,IF(F125="Nul","YES","NO")))</f>
        <v>NO</v>
      </c>
      <c r="G128" s="139" t="str">
        <f t="shared" si="48"/>
        <v>NO</v>
      </c>
      <c r="H128" s="139" t="str">
        <f t="shared" si="48"/>
        <v>NO</v>
      </c>
      <c r="I128" s="139" t="str">
        <f t="shared" si="48"/>
        <v>NO</v>
      </c>
      <c r="J128" s="139" t="str">
        <f t="shared" si="48"/>
        <v>NO</v>
      </c>
      <c r="K128" s="139" t="str">
        <f t="shared" si="48"/>
        <v>NO</v>
      </c>
      <c r="L128" s="139" t="str">
        <f t="shared" si="48"/>
        <v>NO</v>
      </c>
      <c r="M128" s="139" t="str">
        <f t="shared" si="48"/>
        <v>NO</v>
      </c>
      <c r="N128" s="139" t="str">
        <f t="shared" si="48"/>
        <v>NO</v>
      </c>
      <c r="O128" s="139" t="str">
        <f t="shared" si="48"/>
        <v>NO</v>
      </c>
      <c r="P128" s="139" t="str">
        <f t="shared" si="48"/>
        <v>NO</v>
      </c>
      <c r="Q128" s="139" t="str">
        <f t="shared" si="48"/>
        <v>NO</v>
      </c>
      <c r="R128" s="139" t="str">
        <f t="shared" si="48"/>
        <v>NO</v>
      </c>
      <c r="S128" s="139" t="str">
        <f t="shared" si="48"/>
        <v>NO</v>
      </c>
      <c r="T128" s="139" t="str">
        <f t="shared" si="48"/>
        <v>NO</v>
      </c>
      <c r="U128" s="139" t="str">
        <f t="shared" si="48"/>
        <v>NO</v>
      </c>
      <c r="V128" s="139" t="str">
        <f t="shared" si="48"/>
        <v>NO</v>
      </c>
      <c r="W128" s="139" t="str">
        <f t="shared" si="48"/>
        <v>NO</v>
      </c>
      <c r="X128" s="139" t="str">
        <f t="shared" si="48"/>
        <v>NO</v>
      </c>
    </row>
    <row r="129" spans="1:24" s="138" customFormat="1" ht="12" x14ac:dyDescent="0.2"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</row>
    <row r="130" spans="1:24" s="138" customFormat="1" ht="12" x14ac:dyDescent="0.2">
      <c r="A130" s="104" t="s">
        <v>120</v>
      </c>
      <c r="B130" s="105"/>
      <c r="C130" s="105"/>
      <c r="D130" s="105"/>
      <c r="E130" s="107">
        <f>E81</f>
        <v>5905886.4107474685</v>
      </c>
      <c r="F130" s="107">
        <f t="shared" ref="F130:X130" si="49">F81</f>
        <v>5955266.6322610434</v>
      </c>
      <c r="G130" s="107">
        <f t="shared" si="49"/>
        <v>6004414.5242845481</v>
      </c>
      <c r="H130" s="107">
        <f t="shared" si="49"/>
        <v>6053323.0728074545</v>
      </c>
      <c r="I130" s="107">
        <f t="shared" si="49"/>
        <v>6101985.1297003124</v>
      </c>
      <c r="J130" s="107">
        <f t="shared" si="49"/>
        <v>6150393.4100179747</v>
      </c>
      <c r="K130" s="107">
        <f t="shared" si="49"/>
        <v>6198540.4892489258</v>
      </c>
      <c r="L130" s="107">
        <f t="shared" si="49"/>
        <v>6246418.800509572</v>
      </c>
      <c r="M130" s="107">
        <f t="shared" si="49"/>
        <v>6294020.6316824919</v>
      </c>
      <c r="N130" s="107">
        <f t="shared" si="49"/>
        <v>6341338.1224974459</v>
      </c>
      <c r="O130" s="107">
        <f t="shared" si="49"/>
        <v>6388363.2615540111</v>
      </c>
      <c r="P130" s="107">
        <f t="shared" si="49"/>
        <v>6435087.8832847234</v>
      </c>
      <c r="Q130" s="107">
        <f t="shared" si="49"/>
        <v>6481503.6648574807</v>
      </c>
      <c r="R130" s="107">
        <f t="shared" si="49"/>
        <v>6527602.1230160203</v>
      </c>
      <c r="S130" s="107">
        <f t="shared" si="49"/>
        <v>6573374.6108572278</v>
      </c>
      <c r="T130" s="107">
        <f t="shared" si="49"/>
        <v>6618812.3145440156</v>
      </c>
      <c r="U130" s="107">
        <f t="shared" si="49"/>
        <v>6663906.2499524793</v>
      </c>
      <c r="V130" s="107">
        <f t="shared" si="49"/>
        <v>6708647.2592520081</v>
      </c>
      <c r="W130" s="107">
        <f t="shared" si="49"/>
        <v>6753026.0074170399</v>
      </c>
      <c r="X130" s="107">
        <f t="shared" si="49"/>
        <v>6797032.9786690474</v>
      </c>
    </row>
    <row r="131" spans="1:24" s="138" customFormat="1" ht="12" x14ac:dyDescent="0.2">
      <c r="A131" s="112" t="s">
        <v>89</v>
      </c>
      <c r="B131" s="112"/>
      <c r="C131" s="112"/>
      <c r="D131" s="50" t="s">
        <v>10</v>
      </c>
      <c r="E131" s="140">
        <f t="shared" ref="E131:X131" si="50">E130/E56</f>
        <v>0.38506891076267424</v>
      </c>
      <c r="F131" s="140">
        <f t="shared" si="50"/>
        <v>0.38935479208585777</v>
      </c>
      <c r="G131" s="140">
        <f t="shared" si="50"/>
        <v>0.39364607658781925</v>
      </c>
      <c r="H131" s="140">
        <f t="shared" si="50"/>
        <v>0.3979422587017542</v>
      </c>
      <c r="I131" s="140">
        <f t="shared" si="50"/>
        <v>0.40224281855518412</v>
      </c>
      <c r="J131" s="140">
        <f t="shared" si="50"/>
        <v>0.40654722163336182</v>
      </c>
      <c r="K131" s="140">
        <f t="shared" si="50"/>
        <v>0.41085491843496658</v>
      </c>
      <c r="L131" s="140">
        <f t="shared" si="50"/>
        <v>0.41516534411990941</v>
      </c>
      <c r="M131" s="140">
        <f t="shared" si="50"/>
        <v>0.41947791814907381</v>
      </c>
      <c r="N131" s="140">
        <f t="shared" si="50"/>
        <v>0.423792043915804</v>
      </c>
      <c r="O131" s="140">
        <f t="shared" si="50"/>
        <v>0.42810710836895211</v>
      </c>
      <c r="P131" s="140">
        <f t="shared" si="50"/>
        <v>0.43242248162729552</v>
      </c>
      <c r="Q131" s="140">
        <f t="shared" si="50"/>
        <v>0.4367375165851235</v>
      </c>
      <c r="R131" s="140">
        <f t="shared" si="50"/>
        <v>0.44105154850879374</v>
      </c>
      <c r="S131" s="140">
        <f t="shared" si="50"/>
        <v>0.44536389462405201</v>
      </c>
      <c r="T131" s="140">
        <f t="shared" si="50"/>
        <v>0.449673853693905</v>
      </c>
      <c r="U131" s="140">
        <f t="shared" si="50"/>
        <v>0.4539807055868299</v>
      </c>
      <c r="V131" s="140">
        <f t="shared" si="50"/>
        <v>0.4582837108351</v>
      </c>
      <c r="W131" s="140">
        <f t="shared" si="50"/>
        <v>0.46258211018300327</v>
      </c>
      <c r="X131" s="140">
        <f t="shared" si="50"/>
        <v>0.46687512412471932</v>
      </c>
    </row>
    <row r="132" spans="1:24" x14ac:dyDescent="0.2">
      <c r="A132" s="21"/>
      <c r="B132" s="21"/>
      <c r="C132" s="2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1:24" s="138" customFormat="1" thickBot="1" x14ac:dyDescent="0.25">
      <c r="A133" s="141" t="s">
        <v>121</v>
      </c>
      <c r="B133" s="141"/>
      <c r="C133" s="141"/>
      <c r="D133" s="141"/>
      <c r="E133" s="142" t="s">
        <v>122</v>
      </c>
      <c r="F133" s="142" t="s">
        <v>123</v>
      </c>
      <c r="G133" s="142" t="s">
        <v>124</v>
      </c>
      <c r="H133" s="142" t="s">
        <v>125</v>
      </c>
      <c r="I133" s="142" t="s">
        <v>126</v>
      </c>
      <c r="J133" s="142" t="s">
        <v>127</v>
      </c>
      <c r="K133" s="142" t="s">
        <v>128</v>
      </c>
      <c r="L133" s="142" t="s">
        <v>129</v>
      </c>
      <c r="M133" s="142" t="s">
        <v>130</v>
      </c>
      <c r="N133" s="142" t="s">
        <v>131</v>
      </c>
      <c r="O133" s="142" t="s">
        <v>132</v>
      </c>
      <c r="P133" s="142" t="s">
        <v>133</v>
      </c>
      <c r="Q133" s="142" t="s">
        <v>134</v>
      </c>
      <c r="R133" s="142" t="s">
        <v>135</v>
      </c>
      <c r="S133" s="142" t="s">
        <v>136</v>
      </c>
      <c r="T133" s="142" t="s">
        <v>137</v>
      </c>
      <c r="U133" s="142" t="s">
        <v>138</v>
      </c>
      <c r="V133" s="142" t="s">
        <v>139</v>
      </c>
      <c r="W133" s="142" t="s">
        <v>140</v>
      </c>
      <c r="X133" s="142" t="s">
        <v>141</v>
      </c>
    </row>
    <row r="134" spans="1:24" s="138" customFormat="1" ht="12" x14ac:dyDescent="0.2"/>
    <row r="135" spans="1:24" s="138" customFormat="1" ht="12" x14ac:dyDescent="0.2">
      <c r="A135" s="138" t="s">
        <v>142</v>
      </c>
      <c r="D135" s="50" t="s">
        <v>84</v>
      </c>
      <c r="E135" s="110">
        <f>IF(E130&lt;0,0,-E130*30%)</f>
        <v>-1771765.9232242405</v>
      </c>
      <c r="F135" s="110">
        <f t="shared" ref="F135:X135" si="51">IF(F130&lt;0,0,-F130*30%)</f>
        <v>-1786579.989678313</v>
      </c>
      <c r="G135" s="110">
        <f t="shared" si="51"/>
        <v>-1801324.3572853643</v>
      </c>
      <c r="H135" s="110">
        <f t="shared" si="51"/>
        <v>-1815996.9218422363</v>
      </c>
      <c r="I135" s="110">
        <f t="shared" si="51"/>
        <v>-1830595.5389100937</v>
      </c>
      <c r="J135" s="110">
        <f t="shared" si="51"/>
        <v>-1845118.0230053924</v>
      </c>
      <c r="K135" s="110">
        <f t="shared" si="51"/>
        <v>-1859562.1467746778</v>
      </c>
      <c r="L135" s="110">
        <f t="shared" si="51"/>
        <v>-1873925.6401528716</v>
      </c>
      <c r="M135" s="110">
        <f t="shared" si="51"/>
        <v>-1888206.1895047475</v>
      </c>
      <c r="N135" s="110">
        <f t="shared" si="51"/>
        <v>-1902401.4367492336</v>
      </c>
      <c r="O135" s="110">
        <f t="shared" si="51"/>
        <v>-1916508.9784662032</v>
      </c>
      <c r="P135" s="110">
        <f t="shared" si="51"/>
        <v>-1930526.3649854169</v>
      </c>
      <c r="Q135" s="110">
        <f t="shared" si="51"/>
        <v>-1944451.0994572442</v>
      </c>
      <c r="R135" s="110">
        <f t="shared" si="51"/>
        <v>-1958280.6369048059</v>
      </c>
      <c r="S135" s="110">
        <f t="shared" si="51"/>
        <v>-1972012.3832571683</v>
      </c>
      <c r="T135" s="110">
        <f t="shared" si="51"/>
        <v>-1985643.6943632045</v>
      </c>
      <c r="U135" s="110">
        <f t="shared" si="51"/>
        <v>-1999171.8749857438</v>
      </c>
      <c r="V135" s="110">
        <f t="shared" si="51"/>
        <v>-2012594.1777756023</v>
      </c>
      <c r="W135" s="110">
        <f t="shared" si="51"/>
        <v>-2025907.802225112</v>
      </c>
      <c r="X135" s="110">
        <f t="shared" si="51"/>
        <v>-2039109.8936007142</v>
      </c>
    </row>
    <row r="136" spans="1:24" s="138" customFormat="1" ht="12" x14ac:dyDescent="0.2">
      <c r="D136" s="50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</row>
    <row r="137" spans="1:24" x14ac:dyDescent="0.2">
      <c r="A137" s="123" t="s">
        <v>143</v>
      </c>
      <c r="B137" s="123"/>
      <c r="C137" s="123"/>
      <c r="D137" s="144"/>
      <c r="E137" s="6">
        <f>E108</f>
        <v>41609</v>
      </c>
      <c r="F137" s="6">
        <f t="shared" ref="F137:X137" si="52">F108</f>
        <v>41974</v>
      </c>
      <c r="G137" s="6">
        <f t="shared" si="52"/>
        <v>42339</v>
      </c>
      <c r="H137" s="6">
        <f t="shared" si="52"/>
        <v>42705</v>
      </c>
      <c r="I137" s="6">
        <f t="shared" si="52"/>
        <v>43070</v>
      </c>
      <c r="J137" s="6">
        <f t="shared" si="52"/>
        <v>43435</v>
      </c>
      <c r="K137" s="6">
        <f t="shared" si="52"/>
        <v>43800</v>
      </c>
      <c r="L137" s="6">
        <f t="shared" si="52"/>
        <v>44166</v>
      </c>
      <c r="M137" s="6">
        <f t="shared" si="52"/>
        <v>44531</v>
      </c>
      <c r="N137" s="6">
        <f t="shared" si="52"/>
        <v>44896</v>
      </c>
      <c r="O137" s="6">
        <f t="shared" si="52"/>
        <v>45261</v>
      </c>
      <c r="P137" s="6">
        <f t="shared" si="52"/>
        <v>45627</v>
      </c>
      <c r="Q137" s="6">
        <f t="shared" si="52"/>
        <v>45992</v>
      </c>
      <c r="R137" s="6">
        <f t="shared" si="52"/>
        <v>46357</v>
      </c>
      <c r="S137" s="6">
        <f t="shared" si="52"/>
        <v>46722</v>
      </c>
      <c r="T137" s="6">
        <f t="shared" si="52"/>
        <v>47088</v>
      </c>
      <c r="U137" s="6">
        <f t="shared" si="52"/>
        <v>47453</v>
      </c>
      <c r="V137" s="6">
        <f t="shared" si="52"/>
        <v>47818</v>
      </c>
      <c r="W137" s="6">
        <f t="shared" si="52"/>
        <v>48183</v>
      </c>
      <c r="X137" s="6">
        <f t="shared" si="52"/>
        <v>48549</v>
      </c>
    </row>
    <row r="138" spans="1:24" x14ac:dyDescent="0.2">
      <c r="A138" s="21"/>
      <c r="B138" s="21"/>
      <c r="C138" s="2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1:24" x14ac:dyDescent="0.2">
      <c r="A139" s="45" t="s">
        <v>144</v>
      </c>
      <c r="B139" s="45"/>
      <c r="C139" s="45"/>
      <c r="D139" s="93" t="s">
        <v>84</v>
      </c>
      <c r="E139" s="145">
        <f>E127</f>
        <v>5318993.4897473343</v>
      </c>
      <c r="F139" s="145">
        <f t="shared" ref="F139:X139" si="53">F127</f>
        <v>7577249.2397693871</v>
      </c>
      <c r="G139" s="145">
        <f t="shared" si="53"/>
        <v>7626435.322941944</v>
      </c>
      <c r="H139" s="145">
        <f t="shared" si="53"/>
        <v>7675383.215601936</v>
      </c>
      <c r="I139" s="145">
        <f t="shared" si="53"/>
        <v>7724085.7916668579</v>
      </c>
      <c r="J139" s="145">
        <f t="shared" si="53"/>
        <v>7772535.7886818126</v>
      </c>
      <c r="K139" s="145">
        <f t="shared" si="53"/>
        <v>7820725.8050777009</v>
      </c>
      <c r="L139" s="145">
        <f t="shared" si="53"/>
        <v>7868648.2973745624</v>
      </c>
      <c r="M139" s="145">
        <f t="shared" si="53"/>
        <v>7916295.5773290256</v>
      </c>
      <c r="N139" s="145">
        <f t="shared" si="53"/>
        <v>7963659.8090247419</v>
      </c>
      <c r="O139" s="145">
        <f t="shared" si="53"/>
        <v>8010733.0059046037</v>
      </c>
      <c r="P139" s="145">
        <f t="shared" si="53"/>
        <v>8057507.0277436767</v>
      </c>
      <c r="Q139" s="145">
        <f t="shared" si="53"/>
        <v>8103973.5775615759</v>
      </c>
      <c r="R139" s="145">
        <f t="shared" si="53"/>
        <v>8150124.1984731378</v>
      </c>
      <c r="S139" s="145">
        <f t="shared" si="53"/>
        <v>8195950.2704760982</v>
      </c>
      <c r="T139" s="145">
        <f t="shared" si="53"/>
        <v>8241443.007174571</v>
      </c>
      <c r="U139" s="145">
        <f t="shared" si="53"/>
        <v>8286593.4524370059</v>
      </c>
      <c r="V139" s="145">
        <f t="shared" si="53"/>
        <v>8331392.4769873191</v>
      </c>
      <c r="W139" s="145">
        <f t="shared" si="53"/>
        <v>8375830.7749278843</v>
      </c>
      <c r="X139" s="145">
        <f t="shared" si="53"/>
        <v>8419898.8601929918</v>
      </c>
    </row>
    <row r="140" spans="1:24" x14ac:dyDescent="0.2">
      <c r="A140" s="45"/>
      <c r="B140" s="45"/>
      <c r="C140" s="45"/>
      <c r="D140" s="93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1:24" x14ac:dyDescent="0.2">
      <c r="A141" s="15" t="s">
        <v>145</v>
      </c>
      <c r="B141" s="21"/>
      <c r="C141" s="21"/>
      <c r="D141" s="50" t="s">
        <v>84</v>
      </c>
      <c r="E141" s="110">
        <f t="shared" ref="E141:X141" si="54">E83</f>
        <v>4134120.4875232279</v>
      </c>
      <c r="F141" s="110">
        <f t="shared" si="54"/>
        <v>4168686.6425827304</v>
      </c>
      <c r="G141" s="110">
        <f t="shared" si="54"/>
        <v>4203090.1669991836</v>
      </c>
      <c r="H141" s="110">
        <f t="shared" si="54"/>
        <v>4237326.1509652184</v>
      </c>
      <c r="I141" s="110">
        <f t="shared" si="54"/>
        <v>4271389.5907902187</v>
      </c>
      <c r="J141" s="110">
        <f t="shared" si="54"/>
        <v>4305275.3870125823</v>
      </c>
      <c r="K141" s="110">
        <f t="shared" si="54"/>
        <v>4338978.3424742483</v>
      </c>
      <c r="L141" s="110">
        <f t="shared" si="54"/>
        <v>4372493.1603567004</v>
      </c>
      <c r="M141" s="110">
        <f t="shared" si="54"/>
        <v>4405814.4421777446</v>
      </c>
      <c r="N141" s="110">
        <f t="shared" si="54"/>
        <v>4438936.685748212</v>
      </c>
      <c r="O141" s="110">
        <f t="shared" si="54"/>
        <v>4471854.2830878077</v>
      </c>
      <c r="P141" s="110">
        <f t="shared" si="54"/>
        <v>4504561.5182993067</v>
      </c>
      <c r="Q141" s="110">
        <f t="shared" si="54"/>
        <v>4537052.5654002363</v>
      </c>
      <c r="R141" s="110">
        <f t="shared" si="54"/>
        <v>4569321.4861112144</v>
      </c>
      <c r="S141" s="110">
        <f t="shared" si="54"/>
        <v>4601362.2276000595</v>
      </c>
      <c r="T141" s="110">
        <f t="shared" si="54"/>
        <v>4633168.6201808108</v>
      </c>
      <c r="U141" s="110">
        <f t="shared" si="54"/>
        <v>4664734.374966735</v>
      </c>
      <c r="V141" s="110">
        <f t="shared" si="54"/>
        <v>4696053.0814764053</v>
      </c>
      <c r="W141" s="110">
        <f t="shared" si="54"/>
        <v>4727118.205191928</v>
      </c>
      <c r="X141" s="110">
        <f t="shared" si="54"/>
        <v>4757923.085068333</v>
      </c>
    </row>
    <row r="142" spans="1:24" x14ac:dyDescent="0.2">
      <c r="A142" s="15"/>
      <c r="B142" s="21"/>
      <c r="C142" s="21"/>
      <c r="D142" s="5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</row>
    <row r="143" spans="1:24" x14ac:dyDescent="0.2">
      <c r="A143" s="41" t="s">
        <v>146</v>
      </c>
      <c r="B143" s="41"/>
      <c r="C143" s="41"/>
      <c r="D143" s="82" t="s">
        <v>84</v>
      </c>
      <c r="E143" s="146">
        <v>0</v>
      </c>
      <c r="F143" s="147">
        <f>E145</f>
        <v>0</v>
      </c>
      <c r="G143" s="147">
        <f t="shared" ref="G143:X143" si="55">F145</f>
        <v>0</v>
      </c>
      <c r="H143" s="147">
        <f t="shared" si="55"/>
        <v>0</v>
      </c>
      <c r="I143" s="147">
        <f t="shared" si="55"/>
        <v>0</v>
      </c>
      <c r="J143" s="147">
        <f t="shared" si="55"/>
        <v>0</v>
      </c>
      <c r="K143" s="147">
        <f>J145</f>
        <v>0</v>
      </c>
      <c r="L143" s="147">
        <f t="shared" si="55"/>
        <v>0</v>
      </c>
      <c r="M143" s="147">
        <f t="shared" si="55"/>
        <v>0</v>
      </c>
      <c r="N143" s="147">
        <f>M145</f>
        <v>0</v>
      </c>
      <c r="O143" s="147">
        <f t="shared" si="55"/>
        <v>0</v>
      </c>
      <c r="P143" s="147">
        <f t="shared" si="55"/>
        <v>0</v>
      </c>
      <c r="Q143" s="147">
        <f t="shared" si="55"/>
        <v>0</v>
      </c>
      <c r="R143" s="147">
        <f t="shared" si="55"/>
        <v>0</v>
      </c>
      <c r="S143" s="147">
        <f t="shared" si="55"/>
        <v>0</v>
      </c>
      <c r="T143" s="147">
        <f t="shared" si="55"/>
        <v>0</v>
      </c>
      <c r="U143" s="147">
        <f t="shared" si="55"/>
        <v>0</v>
      </c>
      <c r="V143" s="147">
        <f t="shared" si="55"/>
        <v>0</v>
      </c>
      <c r="W143" s="147">
        <f t="shared" si="55"/>
        <v>0</v>
      </c>
      <c r="X143" s="147">
        <f t="shared" si="55"/>
        <v>0</v>
      </c>
    </row>
    <row r="144" spans="1:24" x14ac:dyDescent="0.2">
      <c r="A144" s="32" t="s">
        <v>147</v>
      </c>
      <c r="B144" s="20"/>
      <c r="C144" s="20"/>
      <c r="D144" s="93" t="s">
        <v>84</v>
      </c>
      <c r="E144" s="145">
        <f t="shared" ref="E144:X144" si="56">IF(E141&lt;0,E141,0)</f>
        <v>0</v>
      </c>
      <c r="F144" s="145">
        <f t="shared" si="56"/>
        <v>0</v>
      </c>
      <c r="G144" s="145">
        <f t="shared" si="56"/>
        <v>0</v>
      </c>
      <c r="H144" s="145">
        <f t="shared" si="56"/>
        <v>0</v>
      </c>
      <c r="I144" s="145">
        <f t="shared" si="56"/>
        <v>0</v>
      </c>
      <c r="J144" s="145">
        <f t="shared" si="56"/>
        <v>0</v>
      </c>
      <c r="K144" s="145">
        <f t="shared" si="56"/>
        <v>0</v>
      </c>
      <c r="L144" s="145">
        <f t="shared" si="56"/>
        <v>0</v>
      </c>
      <c r="M144" s="145">
        <f t="shared" si="56"/>
        <v>0</v>
      </c>
      <c r="N144" s="145">
        <f t="shared" si="56"/>
        <v>0</v>
      </c>
      <c r="O144" s="145">
        <f t="shared" si="56"/>
        <v>0</v>
      </c>
      <c r="P144" s="145">
        <f t="shared" si="56"/>
        <v>0</v>
      </c>
      <c r="Q144" s="145">
        <f t="shared" si="56"/>
        <v>0</v>
      </c>
      <c r="R144" s="145">
        <f t="shared" si="56"/>
        <v>0</v>
      </c>
      <c r="S144" s="145">
        <f t="shared" si="56"/>
        <v>0</v>
      </c>
      <c r="T144" s="145">
        <f t="shared" si="56"/>
        <v>0</v>
      </c>
      <c r="U144" s="145">
        <f t="shared" si="56"/>
        <v>0</v>
      </c>
      <c r="V144" s="145">
        <f t="shared" si="56"/>
        <v>0</v>
      </c>
      <c r="W144" s="145">
        <f t="shared" si="56"/>
        <v>0</v>
      </c>
      <c r="X144" s="145">
        <f t="shared" si="56"/>
        <v>0</v>
      </c>
    </row>
    <row r="145" spans="1:24" x14ac:dyDescent="0.2">
      <c r="A145" s="12" t="s">
        <v>148</v>
      </c>
      <c r="B145" s="12"/>
      <c r="C145" s="12"/>
      <c r="D145" s="88" t="s">
        <v>84</v>
      </c>
      <c r="E145" s="118">
        <f>E143+E144</f>
        <v>0</v>
      </c>
      <c r="F145" s="118">
        <f>F143+F144</f>
        <v>0</v>
      </c>
      <c r="G145" s="118">
        <f t="shared" ref="G145:X145" si="57">G143+G144</f>
        <v>0</v>
      </c>
      <c r="H145" s="118">
        <f t="shared" si="57"/>
        <v>0</v>
      </c>
      <c r="I145" s="118">
        <f t="shared" si="57"/>
        <v>0</v>
      </c>
      <c r="J145" s="118">
        <f t="shared" si="57"/>
        <v>0</v>
      </c>
      <c r="K145" s="118">
        <f t="shared" si="57"/>
        <v>0</v>
      </c>
      <c r="L145" s="118">
        <f t="shared" si="57"/>
        <v>0</v>
      </c>
      <c r="M145" s="118">
        <f t="shared" si="57"/>
        <v>0</v>
      </c>
      <c r="N145" s="118">
        <f t="shared" si="57"/>
        <v>0</v>
      </c>
      <c r="O145" s="118">
        <f t="shared" si="57"/>
        <v>0</v>
      </c>
      <c r="P145" s="118">
        <f t="shared" si="57"/>
        <v>0</v>
      </c>
      <c r="Q145" s="118">
        <f t="shared" si="57"/>
        <v>0</v>
      </c>
      <c r="R145" s="118">
        <f t="shared" si="57"/>
        <v>0</v>
      </c>
      <c r="S145" s="118">
        <f t="shared" si="57"/>
        <v>0</v>
      </c>
      <c r="T145" s="118">
        <f t="shared" si="57"/>
        <v>0</v>
      </c>
      <c r="U145" s="118">
        <f t="shared" si="57"/>
        <v>0</v>
      </c>
      <c r="V145" s="118">
        <f t="shared" si="57"/>
        <v>0</v>
      </c>
      <c r="W145" s="118">
        <f t="shared" si="57"/>
        <v>0</v>
      </c>
      <c r="X145" s="118">
        <f t="shared" si="57"/>
        <v>0</v>
      </c>
    </row>
    <row r="146" spans="1:24" x14ac:dyDescent="0.2">
      <c r="A146" s="21"/>
      <c r="B146" s="21"/>
      <c r="C146" s="21"/>
      <c r="D146" s="5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x14ac:dyDescent="0.2">
      <c r="A147" s="148" t="s">
        <v>149</v>
      </c>
      <c r="B147" s="41"/>
      <c r="C147" s="41"/>
      <c r="D147" s="82" t="s">
        <v>84</v>
      </c>
      <c r="E147" s="146">
        <v>0</v>
      </c>
      <c r="F147" s="147">
        <f>+E149</f>
        <v>413412.04875232279</v>
      </c>
      <c r="G147" s="147">
        <f t="shared" ref="G147:X147" si="58">+F149*G20</f>
        <v>0</v>
      </c>
      <c r="H147" s="147">
        <f t="shared" si="58"/>
        <v>0</v>
      </c>
      <c r="I147" s="147">
        <f t="shared" si="58"/>
        <v>105.93315377413046</v>
      </c>
      <c r="J147" s="147">
        <f t="shared" si="58"/>
        <v>0</v>
      </c>
      <c r="K147" s="147">
        <f t="shared" si="58"/>
        <v>0</v>
      </c>
      <c r="L147" s="147">
        <f t="shared" si="58"/>
        <v>0</v>
      </c>
      <c r="M147" s="147">
        <f t="shared" si="58"/>
        <v>0</v>
      </c>
      <c r="N147" s="147">
        <f t="shared" si="58"/>
        <v>0</v>
      </c>
      <c r="O147" s="147">
        <f t="shared" si="58"/>
        <v>0</v>
      </c>
      <c r="P147" s="147">
        <f t="shared" si="58"/>
        <v>0</v>
      </c>
      <c r="Q147" s="147">
        <f t="shared" si="58"/>
        <v>0</v>
      </c>
      <c r="R147" s="147">
        <f t="shared" si="58"/>
        <v>0</v>
      </c>
      <c r="S147" s="147">
        <f t="shared" si="58"/>
        <v>0</v>
      </c>
      <c r="T147" s="147">
        <f t="shared" si="58"/>
        <v>0</v>
      </c>
      <c r="U147" s="147">
        <f t="shared" si="58"/>
        <v>0</v>
      </c>
      <c r="V147" s="147">
        <f t="shared" si="58"/>
        <v>0</v>
      </c>
      <c r="W147" s="147">
        <f t="shared" si="58"/>
        <v>0</v>
      </c>
      <c r="X147" s="147">
        <f t="shared" si="58"/>
        <v>0</v>
      </c>
    </row>
    <row r="148" spans="1:24" x14ac:dyDescent="0.2">
      <c r="A148" s="32" t="s">
        <v>147</v>
      </c>
      <c r="B148" s="20"/>
      <c r="C148" s="20"/>
      <c r="D148" s="93" t="s">
        <v>84</v>
      </c>
      <c r="E148" s="145">
        <f>IF(E147&gt;=$O$32*$O$34/100*$O$27,0,IF(E141&lt;0,0,E141*$O$28))</f>
        <v>413412.04875232279</v>
      </c>
      <c r="F148" s="145">
        <f t="shared" ref="F148:X148" si="59">IF(F147&gt;=$O$32*$O$34/100*$O$27,0,IF(F141&lt;0,0,F141*$O$28))</f>
        <v>0</v>
      </c>
      <c r="G148" s="145">
        <f t="shared" si="59"/>
        <v>420309.01669991837</v>
      </c>
      <c r="H148" s="145">
        <f t="shared" si="59"/>
        <v>423732.61509652185</v>
      </c>
      <c r="I148" s="145">
        <f t="shared" si="59"/>
        <v>0</v>
      </c>
      <c r="J148" s="145">
        <f t="shared" si="59"/>
        <v>430527.53870125825</v>
      </c>
      <c r="K148" s="145">
        <f t="shared" si="59"/>
        <v>433897.83424742485</v>
      </c>
      <c r="L148" s="145">
        <f t="shared" si="59"/>
        <v>437249.31603567005</v>
      </c>
      <c r="M148" s="145">
        <f t="shared" si="59"/>
        <v>440581.44421777449</v>
      </c>
      <c r="N148" s="145">
        <f t="shared" si="59"/>
        <v>443893.6685748212</v>
      </c>
      <c r="O148" s="145">
        <f t="shared" si="59"/>
        <v>447185.42830878077</v>
      </c>
      <c r="P148" s="145">
        <f t="shared" si="59"/>
        <v>450456.15182993072</v>
      </c>
      <c r="Q148" s="145">
        <f t="shared" si="59"/>
        <v>453705.25654002366</v>
      </c>
      <c r="R148" s="145">
        <f t="shared" si="59"/>
        <v>456932.14861112146</v>
      </c>
      <c r="S148" s="145">
        <f t="shared" si="59"/>
        <v>460136.22276000597</v>
      </c>
      <c r="T148" s="145">
        <f t="shared" si="59"/>
        <v>463316.86201808113</v>
      </c>
      <c r="U148" s="145">
        <f t="shared" si="59"/>
        <v>466473.43749667355</v>
      </c>
      <c r="V148" s="145">
        <f t="shared" si="59"/>
        <v>469605.30814764055</v>
      </c>
      <c r="W148" s="145">
        <f t="shared" si="59"/>
        <v>472711.82051919284</v>
      </c>
      <c r="X148" s="145">
        <f t="shared" si="59"/>
        <v>475792.30850683333</v>
      </c>
    </row>
    <row r="149" spans="1:24" x14ac:dyDescent="0.2">
      <c r="A149" s="87" t="s">
        <v>150</v>
      </c>
      <c r="B149" s="12"/>
      <c r="C149" s="12"/>
      <c r="D149" s="88" t="s">
        <v>84</v>
      </c>
      <c r="E149" s="118">
        <f>+E147+E148</f>
        <v>413412.04875232279</v>
      </c>
      <c r="F149" s="118">
        <f>F147+F148</f>
        <v>413412.04875232279</v>
      </c>
      <c r="G149" s="118">
        <f t="shared" ref="G149:X149" si="60">G147+G148</f>
        <v>420309.01669991837</v>
      </c>
      <c r="H149" s="118">
        <f t="shared" si="60"/>
        <v>423732.61509652185</v>
      </c>
      <c r="I149" s="118">
        <f t="shared" si="60"/>
        <v>105.93315377413046</v>
      </c>
      <c r="J149" s="118">
        <f t="shared" si="60"/>
        <v>430527.53870125825</v>
      </c>
      <c r="K149" s="118">
        <f t="shared" si="60"/>
        <v>433897.83424742485</v>
      </c>
      <c r="L149" s="118">
        <f t="shared" si="60"/>
        <v>437249.31603567005</v>
      </c>
      <c r="M149" s="118">
        <f t="shared" si="60"/>
        <v>440581.44421777449</v>
      </c>
      <c r="N149" s="118">
        <f t="shared" si="60"/>
        <v>443893.6685748212</v>
      </c>
      <c r="O149" s="118">
        <f t="shared" si="60"/>
        <v>447185.42830878077</v>
      </c>
      <c r="P149" s="118">
        <f t="shared" si="60"/>
        <v>450456.15182993072</v>
      </c>
      <c r="Q149" s="118">
        <f t="shared" si="60"/>
        <v>453705.25654002366</v>
      </c>
      <c r="R149" s="118">
        <f t="shared" si="60"/>
        <v>456932.14861112146</v>
      </c>
      <c r="S149" s="118">
        <f t="shared" si="60"/>
        <v>460136.22276000597</v>
      </c>
      <c r="T149" s="118">
        <f t="shared" si="60"/>
        <v>463316.86201808113</v>
      </c>
      <c r="U149" s="118">
        <f t="shared" si="60"/>
        <v>466473.43749667355</v>
      </c>
      <c r="V149" s="118">
        <f t="shared" si="60"/>
        <v>469605.30814764055</v>
      </c>
      <c r="W149" s="118">
        <f t="shared" si="60"/>
        <v>472711.82051919284</v>
      </c>
      <c r="X149" s="118">
        <f t="shared" si="60"/>
        <v>475792.30850683333</v>
      </c>
    </row>
    <row r="150" spans="1:24" x14ac:dyDescent="0.2">
      <c r="A150" s="21"/>
      <c r="B150" s="21"/>
      <c r="C150" s="21"/>
      <c r="D150" s="21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</row>
    <row r="151" spans="1:24" x14ac:dyDescent="0.2">
      <c r="A151" s="21" t="s">
        <v>151</v>
      </c>
      <c r="B151" s="21"/>
      <c r="C151" s="21"/>
      <c r="D151" s="50" t="s">
        <v>84</v>
      </c>
      <c r="E151" s="110">
        <f>+IF(E141&lt;0,0,E141-E148)</f>
        <v>3720708.4387709051</v>
      </c>
      <c r="F151" s="110">
        <f>+IF(F141&lt;0,0,F141-F148)</f>
        <v>4168686.6425827304</v>
      </c>
      <c r="G151" s="110">
        <f t="shared" ref="G151:X151" si="61">+IF(G141&lt;0,0,G141-G148)</f>
        <v>3782781.150299265</v>
      </c>
      <c r="H151" s="110">
        <f t="shared" si="61"/>
        <v>3813593.5358686964</v>
      </c>
      <c r="I151" s="110">
        <f t="shared" si="61"/>
        <v>4271389.5907902187</v>
      </c>
      <c r="J151" s="110">
        <f t="shared" si="61"/>
        <v>3874747.8483113241</v>
      </c>
      <c r="K151" s="110">
        <f t="shared" si="61"/>
        <v>3905080.5082268235</v>
      </c>
      <c r="L151" s="110">
        <f t="shared" si="61"/>
        <v>3935243.8443210302</v>
      </c>
      <c r="M151" s="110">
        <f t="shared" si="61"/>
        <v>3965232.99795997</v>
      </c>
      <c r="N151" s="110">
        <f t="shared" si="61"/>
        <v>3995043.0171733908</v>
      </c>
      <c r="O151" s="110">
        <f t="shared" si="61"/>
        <v>4024668.8547790269</v>
      </c>
      <c r="P151" s="110">
        <f t="shared" si="61"/>
        <v>4054105.3664693758</v>
      </c>
      <c r="Q151" s="110">
        <f t="shared" si="61"/>
        <v>4083347.3088602126</v>
      </c>
      <c r="R151" s="110">
        <f t="shared" si="61"/>
        <v>4112389.337500093</v>
      </c>
      <c r="S151" s="110">
        <f t="shared" si="61"/>
        <v>4141226.0048400536</v>
      </c>
      <c r="T151" s="110">
        <f t="shared" si="61"/>
        <v>4169851.7581627294</v>
      </c>
      <c r="U151" s="110">
        <f t="shared" si="61"/>
        <v>4198260.9374700617</v>
      </c>
      <c r="V151" s="110">
        <f t="shared" si="61"/>
        <v>4226447.7733287644</v>
      </c>
      <c r="W151" s="110">
        <f t="shared" si="61"/>
        <v>4254406.3846727349</v>
      </c>
      <c r="X151" s="110">
        <f t="shared" si="61"/>
        <v>4282130.7765614996</v>
      </c>
    </row>
    <row r="152" spans="1:24" x14ac:dyDescent="0.2">
      <c r="A152" s="127" t="s">
        <v>152</v>
      </c>
      <c r="B152" s="127"/>
      <c r="C152" s="127"/>
      <c r="D152" s="82" t="s">
        <v>84</v>
      </c>
      <c r="E152" s="149">
        <f>+E151*$O$29</f>
        <v>3720708.4387709051</v>
      </c>
      <c r="F152" s="149">
        <f t="shared" ref="F152:X152" si="62">+F151*$O$29</f>
        <v>4168686.6425827304</v>
      </c>
      <c r="G152" s="149">
        <f t="shared" si="62"/>
        <v>3782781.150299265</v>
      </c>
      <c r="H152" s="149">
        <f t="shared" si="62"/>
        <v>3813593.5358686964</v>
      </c>
      <c r="I152" s="149">
        <f t="shared" si="62"/>
        <v>4271389.5907902187</v>
      </c>
      <c r="J152" s="149">
        <f t="shared" si="62"/>
        <v>3874747.8483113241</v>
      </c>
      <c r="K152" s="149">
        <f t="shared" si="62"/>
        <v>3905080.5082268235</v>
      </c>
      <c r="L152" s="149">
        <f t="shared" si="62"/>
        <v>3935243.8443210302</v>
      </c>
      <c r="M152" s="149">
        <f t="shared" si="62"/>
        <v>3965232.99795997</v>
      </c>
      <c r="N152" s="149">
        <f t="shared" si="62"/>
        <v>3995043.0171733908</v>
      </c>
      <c r="O152" s="149">
        <f t="shared" si="62"/>
        <v>4024668.8547790269</v>
      </c>
      <c r="P152" s="149">
        <f t="shared" si="62"/>
        <v>4054105.3664693758</v>
      </c>
      <c r="Q152" s="149">
        <f t="shared" si="62"/>
        <v>4083347.3088602126</v>
      </c>
      <c r="R152" s="149">
        <f t="shared" si="62"/>
        <v>4112389.337500093</v>
      </c>
      <c r="S152" s="149">
        <f t="shared" si="62"/>
        <v>4141226.0048400536</v>
      </c>
      <c r="T152" s="149">
        <f t="shared" si="62"/>
        <v>4169851.7581627294</v>
      </c>
      <c r="U152" s="149">
        <f t="shared" si="62"/>
        <v>4198260.9374700617</v>
      </c>
      <c r="V152" s="149">
        <f t="shared" si="62"/>
        <v>4226447.7733287644</v>
      </c>
      <c r="W152" s="149">
        <f t="shared" si="62"/>
        <v>4254406.3846727349</v>
      </c>
      <c r="X152" s="149">
        <f t="shared" si="62"/>
        <v>4282130.7765614996</v>
      </c>
    </row>
    <row r="153" spans="1:24" x14ac:dyDescent="0.2">
      <c r="A153" s="45"/>
      <c r="B153" s="45"/>
      <c r="C153" s="45"/>
      <c r="D153" s="93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</row>
    <row r="154" spans="1:24" x14ac:dyDescent="0.2">
      <c r="A154" s="62" t="s">
        <v>153</v>
      </c>
      <c r="B154" s="21"/>
      <c r="C154" s="21"/>
      <c r="D154" s="50" t="s">
        <v>38</v>
      </c>
      <c r="E154" s="39">
        <f>IF(E139&gt;0,1,0)</f>
        <v>1</v>
      </c>
      <c r="F154" s="39">
        <f t="shared" ref="F154:X154" si="63">IF(F139&gt;0,1,0)</f>
        <v>1</v>
      </c>
      <c r="G154" s="39">
        <f t="shared" si="63"/>
        <v>1</v>
      </c>
      <c r="H154" s="39">
        <f t="shared" si="63"/>
        <v>1</v>
      </c>
      <c r="I154" s="39">
        <f t="shared" si="63"/>
        <v>1</v>
      </c>
      <c r="J154" s="39">
        <f t="shared" si="63"/>
        <v>1</v>
      </c>
      <c r="K154" s="39">
        <f t="shared" si="63"/>
        <v>1</v>
      </c>
      <c r="L154" s="39">
        <f t="shared" si="63"/>
        <v>1</v>
      </c>
      <c r="M154" s="39">
        <f t="shared" si="63"/>
        <v>1</v>
      </c>
      <c r="N154" s="39">
        <f t="shared" si="63"/>
        <v>1</v>
      </c>
      <c r="O154" s="39">
        <f t="shared" si="63"/>
        <v>1</v>
      </c>
      <c r="P154" s="39">
        <f t="shared" si="63"/>
        <v>1</v>
      </c>
      <c r="Q154" s="39">
        <f t="shared" si="63"/>
        <v>1</v>
      </c>
      <c r="R154" s="39">
        <f t="shared" si="63"/>
        <v>1</v>
      </c>
      <c r="S154" s="39">
        <f t="shared" si="63"/>
        <v>1</v>
      </c>
      <c r="T154" s="39">
        <f t="shared" si="63"/>
        <v>1</v>
      </c>
      <c r="U154" s="39">
        <f t="shared" si="63"/>
        <v>1</v>
      </c>
      <c r="V154" s="39">
        <f t="shared" si="63"/>
        <v>1</v>
      </c>
      <c r="W154" s="39">
        <f t="shared" si="63"/>
        <v>1</v>
      </c>
      <c r="X154" s="39">
        <f t="shared" si="63"/>
        <v>1</v>
      </c>
    </row>
    <row r="155" spans="1:24" x14ac:dyDescent="0.2">
      <c r="A155" s="134" t="s">
        <v>154</v>
      </c>
      <c r="B155" s="135"/>
      <c r="C155" s="135"/>
      <c r="D155" s="50" t="s">
        <v>38</v>
      </c>
      <c r="E155" s="39">
        <f>IF(E125&gt;=$I$24,1,0)</f>
        <v>1</v>
      </c>
      <c r="F155" s="39">
        <f t="shared" ref="F155:X155" si="64">IF(F125&gt;=$I$24,1,0)</f>
        <v>1</v>
      </c>
      <c r="G155" s="39">
        <f t="shared" si="64"/>
        <v>1</v>
      </c>
      <c r="H155" s="39">
        <f t="shared" si="64"/>
        <v>1</v>
      </c>
      <c r="I155" s="39">
        <f t="shared" si="64"/>
        <v>1</v>
      </c>
      <c r="J155" s="39">
        <f t="shared" si="64"/>
        <v>1</v>
      </c>
      <c r="K155" s="39">
        <f t="shared" si="64"/>
        <v>1</v>
      </c>
      <c r="L155" s="39">
        <f t="shared" si="64"/>
        <v>1</v>
      </c>
      <c r="M155" s="39">
        <f t="shared" si="64"/>
        <v>1</v>
      </c>
      <c r="N155" s="39">
        <f t="shared" si="64"/>
        <v>1</v>
      </c>
      <c r="O155" s="39">
        <f t="shared" si="64"/>
        <v>1</v>
      </c>
      <c r="P155" s="39">
        <f t="shared" si="64"/>
        <v>1</v>
      </c>
      <c r="Q155" s="39">
        <f t="shared" si="64"/>
        <v>1</v>
      </c>
      <c r="R155" s="39">
        <f t="shared" si="64"/>
        <v>1</v>
      </c>
      <c r="S155" s="39">
        <f t="shared" si="64"/>
        <v>1</v>
      </c>
      <c r="T155" s="39">
        <f t="shared" si="64"/>
        <v>1</v>
      </c>
      <c r="U155" s="39">
        <f t="shared" si="64"/>
        <v>1</v>
      </c>
      <c r="V155" s="39">
        <f t="shared" si="64"/>
        <v>1</v>
      </c>
      <c r="W155" s="39">
        <f t="shared" si="64"/>
        <v>1</v>
      </c>
      <c r="X155" s="39">
        <f t="shared" si="64"/>
        <v>1</v>
      </c>
    </row>
    <row r="156" spans="1:24" x14ac:dyDescent="0.2">
      <c r="A156" s="151" t="s">
        <v>155</v>
      </c>
      <c r="B156" s="152"/>
      <c r="C156" s="152"/>
      <c r="D156" s="82" t="s">
        <v>38</v>
      </c>
      <c r="E156" s="83">
        <f>IF(SUM(E154:E155)=2,1,0)</f>
        <v>1</v>
      </c>
      <c r="F156" s="83">
        <f t="shared" ref="F156:X156" si="65">IF(SUM(F154:F155)=2,1,0)</f>
        <v>1</v>
      </c>
      <c r="G156" s="83">
        <f t="shared" si="65"/>
        <v>1</v>
      </c>
      <c r="H156" s="83">
        <f t="shared" si="65"/>
        <v>1</v>
      </c>
      <c r="I156" s="83">
        <f t="shared" si="65"/>
        <v>1</v>
      </c>
      <c r="J156" s="83">
        <f t="shared" si="65"/>
        <v>1</v>
      </c>
      <c r="K156" s="83">
        <f t="shared" si="65"/>
        <v>1</v>
      </c>
      <c r="L156" s="83">
        <f t="shared" si="65"/>
        <v>1</v>
      </c>
      <c r="M156" s="83">
        <f t="shared" si="65"/>
        <v>1</v>
      </c>
      <c r="N156" s="83">
        <f t="shared" si="65"/>
        <v>1</v>
      </c>
      <c r="O156" s="83">
        <f t="shared" si="65"/>
        <v>1</v>
      </c>
      <c r="P156" s="83">
        <f t="shared" si="65"/>
        <v>1</v>
      </c>
      <c r="Q156" s="83">
        <f t="shared" si="65"/>
        <v>1</v>
      </c>
      <c r="R156" s="83">
        <f t="shared" si="65"/>
        <v>1</v>
      </c>
      <c r="S156" s="83">
        <f t="shared" si="65"/>
        <v>1</v>
      </c>
      <c r="T156" s="83">
        <f t="shared" si="65"/>
        <v>1</v>
      </c>
      <c r="U156" s="83">
        <f t="shared" si="65"/>
        <v>1</v>
      </c>
      <c r="V156" s="83">
        <f t="shared" si="65"/>
        <v>1</v>
      </c>
      <c r="W156" s="83">
        <f t="shared" si="65"/>
        <v>1</v>
      </c>
      <c r="X156" s="83">
        <f t="shared" si="65"/>
        <v>1</v>
      </c>
    </row>
    <row r="157" spans="1:24" x14ac:dyDescent="0.2">
      <c r="A157" s="45"/>
      <c r="B157" s="45"/>
      <c r="C157" s="45"/>
      <c r="D157" s="93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x14ac:dyDescent="0.2">
      <c r="A158" s="153" t="s">
        <v>156</v>
      </c>
      <c r="B158" s="154"/>
      <c r="C158" s="154"/>
      <c r="D158" s="155" t="s">
        <v>84</v>
      </c>
      <c r="E158" s="95">
        <f>IF(E156=0,0,-MIN(E139,E152))</f>
        <v>-3720708.4387709051</v>
      </c>
      <c r="F158" s="95">
        <f t="shared" ref="F158:X158" si="66">IF(F156=0,0,-MIN(F139,F152))</f>
        <v>-4168686.6425827304</v>
      </c>
      <c r="G158" s="95">
        <f t="shared" si="66"/>
        <v>-3782781.150299265</v>
      </c>
      <c r="H158" s="95">
        <f t="shared" si="66"/>
        <v>-3813593.5358686964</v>
      </c>
      <c r="I158" s="95">
        <f t="shared" si="66"/>
        <v>-4271389.5907902187</v>
      </c>
      <c r="J158" s="95">
        <f t="shared" si="66"/>
        <v>-3874747.8483113241</v>
      </c>
      <c r="K158" s="95">
        <f t="shared" si="66"/>
        <v>-3905080.5082268235</v>
      </c>
      <c r="L158" s="95">
        <f t="shared" si="66"/>
        <v>-3935243.8443210302</v>
      </c>
      <c r="M158" s="95">
        <f t="shared" si="66"/>
        <v>-3965232.99795997</v>
      </c>
      <c r="N158" s="95">
        <f t="shared" si="66"/>
        <v>-3995043.0171733908</v>
      </c>
      <c r="O158" s="95">
        <f t="shared" si="66"/>
        <v>-4024668.8547790269</v>
      </c>
      <c r="P158" s="95">
        <f t="shared" si="66"/>
        <v>-4054105.3664693758</v>
      </c>
      <c r="Q158" s="95">
        <f t="shared" si="66"/>
        <v>-4083347.3088602126</v>
      </c>
      <c r="R158" s="95">
        <f t="shared" si="66"/>
        <v>-4112389.337500093</v>
      </c>
      <c r="S158" s="95">
        <f t="shared" si="66"/>
        <v>-4141226.0048400536</v>
      </c>
      <c r="T158" s="95">
        <f t="shared" si="66"/>
        <v>-4169851.7581627294</v>
      </c>
      <c r="U158" s="95">
        <f t="shared" si="66"/>
        <v>-4198260.9374700617</v>
      </c>
      <c r="V158" s="95">
        <f t="shared" si="66"/>
        <v>-4226447.7733287644</v>
      </c>
      <c r="W158" s="95">
        <f t="shared" si="66"/>
        <v>-4254406.3846727349</v>
      </c>
      <c r="X158" s="95">
        <f t="shared" si="66"/>
        <v>-4282130.7765614996</v>
      </c>
    </row>
    <row r="159" spans="1:24" x14ac:dyDescent="0.2">
      <c r="A159" s="153"/>
      <c r="B159" s="154"/>
      <c r="C159" s="154"/>
      <c r="D159" s="15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</row>
    <row r="160" spans="1:24" x14ac:dyDescent="0.2">
      <c r="A160" s="156" t="s">
        <v>157</v>
      </c>
      <c r="B160" s="154"/>
      <c r="C160" s="154"/>
      <c r="D160" s="157" t="s">
        <v>84</v>
      </c>
      <c r="E160" s="110">
        <f>IF(E139&lt;0,0,E139+E158)</f>
        <v>1598285.0509764291</v>
      </c>
      <c r="F160" s="110">
        <f t="shared" ref="F160:X160" si="67">IF(F139&lt;0,0,F139+F158)</f>
        <v>3408562.5971866567</v>
      </c>
      <c r="G160" s="110">
        <f t="shared" si="67"/>
        <v>3843654.172642679</v>
      </c>
      <c r="H160" s="110">
        <f t="shared" si="67"/>
        <v>3861789.6797332396</v>
      </c>
      <c r="I160" s="110">
        <f t="shared" si="67"/>
        <v>3452696.2008766392</v>
      </c>
      <c r="J160" s="110">
        <f t="shared" si="67"/>
        <v>3897787.9403704884</v>
      </c>
      <c r="K160" s="110">
        <f t="shared" si="67"/>
        <v>3915645.2968508773</v>
      </c>
      <c r="L160" s="110">
        <f t="shared" si="67"/>
        <v>3933404.4530535322</v>
      </c>
      <c r="M160" s="110">
        <f t="shared" si="67"/>
        <v>3951062.5793690556</v>
      </c>
      <c r="N160" s="110">
        <f t="shared" si="67"/>
        <v>3968616.791851351</v>
      </c>
      <c r="O160" s="110">
        <f t="shared" si="67"/>
        <v>3986064.1511255768</v>
      </c>
      <c r="P160" s="110">
        <f t="shared" si="67"/>
        <v>4003401.6612743009</v>
      </c>
      <c r="Q160" s="110">
        <f t="shared" si="67"/>
        <v>4020626.2687013634</v>
      </c>
      <c r="R160" s="110">
        <f t="shared" si="67"/>
        <v>4037734.8609730448</v>
      </c>
      <c r="S160" s="110">
        <f t="shared" si="67"/>
        <v>4054724.2656360446</v>
      </c>
      <c r="T160" s="110">
        <f t="shared" si="67"/>
        <v>4071591.2490118416</v>
      </c>
      <c r="U160" s="110">
        <f t="shared" si="67"/>
        <v>4088332.5149669442</v>
      </c>
      <c r="V160" s="110">
        <f t="shared" si="67"/>
        <v>4104944.7036585547</v>
      </c>
      <c r="W160" s="110">
        <f t="shared" si="67"/>
        <v>4121424.3902551495</v>
      </c>
      <c r="X160" s="110">
        <f t="shared" si="67"/>
        <v>4137768.0836314922</v>
      </c>
    </row>
    <row r="161" spans="1:24" x14ac:dyDescent="0.2">
      <c r="A161" s="153"/>
      <c r="B161" s="154"/>
      <c r="C161" s="154"/>
      <c r="D161" s="15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</row>
    <row r="162" spans="1:24" x14ac:dyDescent="0.2">
      <c r="A162" s="158"/>
      <c r="B162" s="159"/>
      <c r="C162" s="15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1:24" x14ac:dyDescent="0.2">
      <c r="A163" s="160" t="s">
        <v>158</v>
      </c>
      <c r="B163" s="160"/>
      <c r="C163" s="160"/>
      <c r="D163" s="161"/>
      <c r="E163" s="6">
        <f>E137</f>
        <v>41609</v>
      </c>
      <c r="F163" s="6">
        <f t="shared" ref="F163:X163" si="68">F137</f>
        <v>41974</v>
      </c>
      <c r="G163" s="6">
        <f t="shared" si="68"/>
        <v>42339</v>
      </c>
      <c r="H163" s="6">
        <f t="shared" si="68"/>
        <v>42705</v>
      </c>
      <c r="I163" s="6">
        <f t="shared" si="68"/>
        <v>43070</v>
      </c>
      <c r="J163" s="6">
        <f t="shared" si="68"/>
        <v>43435</v>
      </c>
      <c r="K163" s="6">
        <f t="shared" si="68"/>
        <v>43800</v>
      </c>
      <c r="L163" s="6">
        <f t="shared" si="68"/>
        <v>44166</v>
      </c>
      <c r="M163" s="6">
        <f t="shared" si="68"/>
        <v>44531</v>
      </c>
      <c r="N163" s="6">
        <f t="shared" si="68"/>
        <v>44896</v>
      </c>
      <c r="O163" s="6">
        <f t="shared" si="68"/>
        <v>45261</v>
      </c>
      <c r="P163" s="6">
        <f t="shared" si="68"/>
        <v>45627</v>
      </c>
      <c r="Q163" s="6">
        <f t="shared" si="68"/>
        <v>45992</v>
      </c>
      <c r="R163" s="6">
        <f t="shared" si="68"/>
        <v>46357</v>
      </c>
      <c r="S163" s="6">
        <f t="shared" si="68"/>
        <v>46722</v>
      </c>
      <c r="T163" s="6">
        <f t="shared" si="68"/>
        <v>47088</v>
      </c>
      <c r="U163" s="6">
        <f t="shared" si="68"/>
        <v>47453</v>
      </c>
      <c r="V163" s="6">
        <f t="shared" si="68"/>
        <v>47818</v>
      </c>
      <c r="W163" s="6">
        <f t="shared" si="68"/>
        <v>48183</v>
      </c>
      <c r="X163" s="6">
        <f t="shared" si="68"/>
        <v>48549</v>
      </c>
    </row>
    <row r="164" spans="1:24" x14ac:dyDescent="0.2">
      <c r="A164" s="159"/>
      <c r="B164" s="159"/>
      <c r="C164" s="15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1:24" x14ac:dyDescent="0.2">
      <c r="A165" s="156" t="s">
        <v>159</v>
      </c>
      <c r="B165" s="159"/>
      <c r="C165" s="159"/>
      <c r="D165" s="157" t="s">
        <v>84</v>
      </c>
      <c r="E165" s="110">
        <f>-E158</f>
        <v>3720708.4387709051</v>
      </c>
      <c r="F165" s="110">
        <f t="shared" ref="F165:X165" si="69">-F158</f>
        <v>4168686.6425827304</v>
      </c>
      <c r="G165" s="110">
        <f t="shared" si="69"/>
        <v>3782781.150299265</v>
      </c>
      <c r="H165" s="110">
        <f t="shared" si="69"/>
        <v>3813593.5358686964</v>
      </c>
      <c r="I165" s="110">
        <f t="shared" si="69"/>
        <v>4271389.5907902187</v>
      </c>
      <c r="J165" s="110">
        <f t="shared" si="69"/>
        <v>3874747.8483113241</v>
      </c>
      <c r="K165" s="110">
        <f t="shared" si="69"/>
        <v>3905080.5082268235</v>
      </c>
      <c r="L165" s="110">
        <f t="shared" si="69"/>
        <v>3935243.8443210302</v>
      </c>
      <c r="M165" s="110">
        <f t="shared" si="69"/>
        <v>3965232.99795997</v>
      </c>
      <c r="N165" s="110">
        <f t="shared" si="69"/>
        <v>3995043.0171733908</v>
      </c>
      <c r="O165" s="110">
        <f t="shared" si="69"/>
        <v>4024668.8547790269</v>
      </c>
      <c r="P165" s="110">
        <f t="shared" si="69"/>
        <v>4054105.3664693758</v>
      </c>
      <c r="Q165" s="110">
        <f t="shared" si="69"/>
        <v>4083347.3088602126</v>
      </c>
      <c r="R165" s="110">
        <f t="shared" si="69"/>
        <v>4112389.337500093</v>
      </c>
      <c r="S165" s="110">
        <f t="shared" si="69"/>
        <v>4141226.0048400536</v>
      </c>
      <c r="T165" s="110">
        <f t="shared" si="69"/>
        <v>4169851.7581627294</v>
      </c>
      <c r="U165" s="110">
        <f t="shared" si="69"/>
        <v>4198260.9374700617</v>
      </c>
      <c r="V165" s="110">
        <f t="shared" si="69"/>
        <v>4226447.7733287644</v>
      </c>
      <c r="W165" s="110">
        <f t="shared" si="69"/>
        <v>4254406.3846727349</v>
      </c>
      <c r="X165" s="110">
        <f t="shared" si="69"/>
        <v>4282130.7765614996</v>
      </c>
    </row>
    <row r="166" spans="1:24" x14ac:dyDescent="0.2">
      <c r="A166" s="162" t="s">
        <v>160</v>
      </c>
      <c r="B166" s="163"/>
      <c r="C166" s="163"/>
      <c r="D166" s="164">
        <f>-O32*1000000*O34/100</f>
        <v>-32256842.796</v>
      </c>
      <c r="E166" s="149">
        <f t="shared" ref="E166:X166" si="70">SUM(E165:E165)</f>
        <v>3720708.4387709051</v>
      </c>
      <c r="F166" s="149">
        <f t="shared" si="70"/>
        <v>4168686.6425827304</v>
      </c>
      <c r="G166" s="149">
        <f t="shared" si="70"/>
        <v>3782781.150299265</v>
      </c>
      <c r="H166" s="149">
        <f t="shared" si="70"/>
        <v>3813593.5358686964</v>
      </c>
      <c r="I166" s="149">
        <f t="shared" si="70"/>
        <v>4271389.5907902187</v>
      </c>
      <c r="J166" s="149">
        <f t="shared" si="70"/>
        <v>3874747.8483113241</v>
      </c>
      <c r="K166" s="149">
        <f t="shared" si="70"/>
        <v>3905080.5082268235</v>
      </c>
      <c r="L166" s="149">
        <f t="shared" si="70"/>
        <v>3935243.8443210302</v>
      </c>
      <c r="M166" s="149">
        <f t="shared" si="70"/>
        <v>3965232.99795997</v>
      </c>
      <c r="N166" s="149">
        <f t="shared" si="70"/>
        <v>3995043.0171733908</v>
      </c>
      <c r="O166" s="149">
        <f t="shared" si="70"/>
        <v>4024668.8547790269</v>
      </c>
      <c r="P166" s="149">
        <f t="shared" si="70"/>
        <v>4054105.3664693758</v>
      </c>
      <c r="Q166" s="149">
        <f t="shared" si="70"/>
        <v>4083347.3088602126</v>
      </c>
      <c r="R166" s="149">
        <f t="shared" si="70"/>
        <v>4112389.337500093</v>
      </c>
      <c r="S166" s="149">
        <f t="shared" si="70"/>
        <v>4141226.0048400536</v>
      </c>
      <c r="T166" s="149">
        <f t="shared" si="70"/>
        <v>4169851.7581627294</v>
      </c>
      <c r="U166" s="149">
        <f t="shared" si="70"/>
        <v>4198260.9374700617</v>
      </c>
      <c r="V166" s="149">
        <f t="shared" si="70"/>
        <v>4226447.7733287644</v>
      </c>
      <c r="W166" s="149">
        <f t="shared" si="70"/>
        <v>4254406.3846727349</v>
      </c>
      <c r="X166" s="149">
        <f t="shared" si="70"/>
        <v>4282130.7765614996</v>
      </c>
    </row>
    <row r="167" spans="1:24" x14ac:dyDescent="0.2">
      <c r="A167" s="159"/>
      <c r="B167" s="159"/>
      <c r="C167" s="15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</row>
    <row r="168" spans="1:24" x14ac:dyDescent="0.2">
      <c r="A168" s="160" t="s">
        <v>161</v>
      </c>
      <c r="B168" s="160"/>
      <c r="C168" s="160"/>
      <c r="D168" s="160"/>
      <c r="E168" s="6">
        <f>E163</f>
        <v>41609</v>
      </c>
      <c r="F168" s="6">
        <f t="shared" ref="F168:X168" si="71">F163</f>
        <v>41974</v>
      </c>
      <c r="G168" s="6">
        <f t="shared" si="71"/>
        <v>42339</v>
      </c>
      <c r="H168" s="6">
        <f t="shared" si="71"/>
        <v>42705</v>
      </c>
      <c r="I168" s="6">
        <f t="shared" si="71"/>
        <v>43070</v>
      </c>
      <c r="J168" s="6">
        <f t="shared" si="71"/>
        <v>43435</v>
      </c>
      <c r="K168" s="6">
        <f t="shared" si="71"/>
        <v>43800</v>
      </c>
      <c r="L168" s="6">
        <f t="shared" si="71"/>
        <v>44166</v>
      </c>
      <c r="M168" s="6">
        <f t="shared" si="71"/>
        <v>44531</v>
      </c>
      <c r="N168" s="6">
        <f t="shared" si="71"/>
        <v>44896</v>
      </c>
      <c r="O168" s="6">
        <f t="shared" si="71"/>
        <v>45261</v>
      </c>
      <c r="P168" s="6">
        <f t="shared" si="71"/>
        <v>45627</v>
      </c>
      <c r="Q168" s="6">
        <f t="shared" si="71"/>
        <v>45992</v>
      </c>
      <c r="R168" s="6">
        <f t="shared" si="71"/>
        <v>46357</v>
      </c>
      <c r="S168" s="6">
        <f t="shared" si="71"/>
        <v>46722</v>
      </c>
      <c r="T168" s="6">
        <f t="shared" si="71"/>
        <v>47088</v>
      </c>
      <c r="U168" s="6">
        <f t="shared" si="71"/>
        <v>47453</v>
      </c>
      <c r="V168" s="6">
        <f t="shared" si="71"/>
        <v>47818</v>
      </c>
      <c r="W168" s="6">
        <f t="shared" si="71"/>
        <v>48183</v>
      </c>
      <c r="X168" s="6">
        <f t="shared" si="71"/>
        <v>48549</v>
      </c>
    </row>
    <row r="169" spans="1:24" x14ac:dyDescent="0.2">
      <c r="A169" s="159"/>
      <c r="B169" s="159"/>
      <c r="C169" s="15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</row>
    <row r="170" spans="1:24" x14ac:dyDescent="0.2">
      <c r="A170" s="172" t="s">
        <v>162</v>
      </c>
      <c r="B170" s="173"/>
      <c r="C170" s="173"/>
      <c r="D170" s="173"/>
      <c r="E170" s="173"/>
      <c r="F170" s="173"/>
      <c r="G170" s="173"/>
      <c r="H170" s="173"/>
      <c r="I170" s="174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</row>
    <row r="171" spans="1:24" x14ac:dyDescent="0.2">
      <c r="A171" s="175"/>
      <c r="B171" s="176"/>
      <c r="C171" s="176"/>
      <c r="D171" s="176"/>
      <c r="E171" s="176"/>
      <c r="F171" s="176"/>
      <c r="G171" s="176"/>
      <c r="H171" s="176"/>
      <c r="I171" s="177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</row>
    <row r="172" spans="1:24" x14ac:dyDescent="0.2">
      <c r="A172" s="178"/>
      <c r="B172" s="179"/>
      <c r="C172" s="179"/>
      <c r="D172" s="179"/>
      <c r="E172" s="179"/>
      <c r="F172" s="179"/>
      <c r="G172" s="179"/>
      <c r="H172" s="179"/>
      <c r="I172" s="18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</row>
    <row r="173" spans="1:24" x14ac:dyDescent="0.2">
      <c r="A173" s="156"/>
      <c r="B173" s="159"/>
      <c r="C173" s="159"/>
      <c r="D173" s="157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</row>
    <row r="174" spans="1:24" x14ac:dyDescent="0.2">
      <c r="A174" s="165" t="s">
        <v>163</v>
      </c>
      <c r="B174" s="166"/>
      <c r="C174" s="166"/>
      <c r="D174" s="157">
        <f>D166</f>
        <v>-32256842.796</v>
      </c>
      <c r="E174" s="121">
        <f>+E166</f>
        <v>3720708.4387709051</v>
      </c>
      <c r="F174" s="121">
        <f t="shared" ref="F174:W174" si="72">+F166</f>
        <v>4168686.6425827304</v>
      </c>
      <c r="G174" s="121">
        <f t="shared" si="72"/>
        <v>3782781.150299265</v>
      </c>
      <c r="H174" s="121">
        <f t="shared" si="72"/>
        <v>3813593.5358686964</v>
      </c>
      <c r="I174" s="121">
        <f t="shared" si="72"/>
        <v>4271389.5907902187</v>
      </c>
      <c r="J174" s="121">
        <f t="shared" si="72"/>
        <v>3874747.8483113241</v>
      </c>
      <c r="K174" s="121">
        <f t="shared" si="72"/>
        <v>3905080.5082268235</v>
      </c>
      <c r="L174" s="121">
        <f t="shared" si="72"/>
        <v>3935243.8443210302</v>
      </c>
      <c r="M174" s="121">
        <f t="shared" si="72"/>
        <v>3965232.99795997</v>
      </c>
      <c r="N174" s="121">
        <f t="shared" si="72"/>
        <v>3995043.0171733908</v>
      </c>
      <c r="O174" s="121">
        <f t="shared" si="72"/>
        <v>4024668.8547790269</v>
      </c>
      <c r="P174" s="121">
        <f t="shared" si="72"/>
        <v>4054105.3664693758</v>
      </c>
      <c r="Q174" s="121">
        <f t="shared" si="72"/>
        <v>4083347.3088602126</v>
      </c>
      <c r="R174" s="121">
        <f t="shared" si="72"/>
        <v>4112389.337500093</v>
      </c>
      <c r="S174" s="121">
        <f t="shared" si="72"/>
        <v>4141226.0048400536</v>
      </c>
      <c r="T174" s="121">
        <f t="shared" si="72"/>
        <v>4169851.7581627294</v>
      </c>
      <c r="U174" s="121">
        <f t="shared" si="72"/>
        <v>4198260.9374700617</v>
      </c>
      <c r="V174" s="121">
        <f t="shared" si="72"/>
        <v>4226447.7733287644</v>
      </c>
      <c r="W174" s="121">
        <f t="shared" si="72"/>
        <v>4254406.3846727349</v>
      </c>
      <c r="X174" s="121">
        <f>+X166+E176</f>
        <v>10228293.428389825</v>
      </c>
    </row>
    <row r="175" spans="1:24" x14ac:dyDescent="0.2">
      <c r="A175" s="15" t="s">
        <v>164</v>
      </c>
      <c r="B175" s="21"/>
      <c r="C175" s="21"/>
      <c r="D175" s="31"/>
      <c r="E175" s="121">
        <f>NPV(12%,E166:X166)</f>
        <v>29730813.259141628</v>
      </c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</row>
    <row r="176" spans="1:24" x14ac:dyDescent="0.2">
      <c r="A176" s="167" t="s">
        <v>165</v>
      </c>
      <c r="E176" s="121">
        <f>E175*20%</f>
        <v>5946162.6518283263</v>
      </c>
    </row>
    <row r="178" spans="1:24" s="138" customFormat="1" ht="12" x14ac:dyDescent="0.2">
      <c r="A178" s="168" t="s">
        <v>166</v>
      </c>
      <c r="B178" s="168"/>
      <c r="C178" s="168"/>
      <c r="D178" s="169">
        <f>IRR(D166:X166)</f>
        <v>0.10755045216759118</v>
      </c>
    </row>
    <row r="179" spans="1:24" s="168" customFormat="1" ht="12" x14ac:dyDescent="0.2">
      <c r="A179" s="168" t="s">
        <v>167</v>
      </c>
      <c r="E179" s="170">
        <f>E166/-$D$166</f>
        <v>0.11534633015083207</v>
      </c>
      <c r="F179" s="170">
        <f t="shared" ref="F179:X179" si="73">F166/-$D$166</f>
        <v>0.12923418044805263</v>
      </c>
      <c r="G179" s="170">
        <f t="shared" si="73"/>
        <v>0.11727065708886883</v>
      </c>
      <c r="H179" s="170">
        <f t="shared" si="73"/>
        <v>0.11822587721888268</v>
      </c>
      <c r="I179" s="170">
        <f t="shared" si="73"/>
        <v>0.13241809242781477</v>
      </c>
      <c r="J179" s="170">
        <f t="shared" si="73"/>
        <v>0.1201217327069533</v>
      </c>
      <c r="K179" s="170">
        <f t="shared" si="73"/>
        <v>0.12106208077844097</v>
      </c>
      <c r="L179" s="170">
        <f t="shared" si="73"/>
        <v>0.12199717961266249</v>
      </c>
      <c r="M179" s="170">
        <f t="shared" si="73"/>
        <v>0.12292687858626007</v>
      </c>
      <c r="N179" s="170">
        <f t="shared" si="73"/>
        <v>0.1238510241823417</v>
      </c>
      <c r="O179" s="170">
        <f t="shared" si="73"/>
        <v>0.12476945993233116</v>
      </c>
      <c r="P179" s="170">
        <f t="shared" si="73"/>
        <v>0.12568202635665582</v>
      </c>
      <c r="Q179" s="170">
        <f t="shared" si="73"/>
        <v>0.12658856090424842</v>
      </c>
      <c r="R179" s="170">
        <f t="shared" si="73"/>
        <v>0.12748889789083911</v>
      </c>
      <c r="S179" s="170">
        <f t="shared" si="73"/>
        <v>0.12838286843601399</v>
      </c>
      <c r="T179" s="170">
        <f t="shared" si="73"/>
        <v>0.12927030039901521</v>
      </c>
      <c r="U179" s="170">
        <f t="shared" si="73"/>
        <v>0.13015101831325743</v>
      </c>
      <c r="V179" s="170">
        <f t="shared" si="73"/>
        <v>0.13102484331953479</v>
      </c>
      <c r="W179" s="170">
        <f t="shared" si="73"/>
        <v>0.13189159309789306</v>
      </c>
      <c r="X179" s="170">
        <f t="shared" si="73"/>
        <v>0.13275108179813877</v>
      </c>
    </row>
    <row r="180" spans="1:24" s="138" customFormat="1" ht="12" x14ac:dyDescent="0.2">
      <c r="A180" s="168" t="s">
        <v>168</v>
      </c>
      <c r="B180" s="171">
        <v>0.12</v>
      </c>
    </row>
    <row r="181" spans="1:24" s="138" customFormat="1" ht="12" x14ac:dyDescent="0.2">
      <c r="A181" s="168" t="s">
        <v>169</v>
      </c>
      <c r="B181" s="95">
        <f>NPV(B180,D166:X166)</f>
        <v>-2255383.5150521183</v>
      </c>
    </row>
    <row r="182" spans="1:24" s="138" customFormat="1" ht="12" x14ac:dyDescent="0.2">
      <c r="A182" s="168" t="s">
        <v>170</v>
      </c>
      <c r="B182" s="168"/>
      <c r="C182" s="168"/>
      <c r="D182" s="169">
        <f>IRR(D174:X174)</f>
        <v>0.11095487780575697</v>
      </c>
    </row>
    <row r="183" spans="1:24" x14ac:dyDescent="0.2">
      <c r="A183" s="168" t="s">
        <v>168</v>
      </c>
      <c r="B183" s="171">
        <f>B180</f>
        <v>0.12</v>
      </c>
    </row>
    <row r="184" spans="1:24" x14ac:dyDescent="0.2">
      <c r="A184" s="168" t="s">
        <v>169</v>
      </c>
      <c r="B184" s="95">
        <f>NPV(B183,D174:X174)</f>
        <v>-1705009.0090176102</v>
      </c>
    </row>
  </sheetData>
  <mergeCells count="1">
    <mergeCell ref="A170:I17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ATOS 1</vt:lpstr>
    </vt:vector>
  </TitlesOfParts>
  <Company>Carlos Ruiz Nicolas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Ruiz</dc:creator>
  <cp:lastModifiedBy>User</cp:lastModifiedBy>
  <dcterms:created xsi:type="dcterms:W3CDTF">2013-11-22T18:50:24Z</dcterms:created>
  <dcterms:modified xsi:type="dcterms:W3CDTF">2016-10-14T00:13:17Z</dcterms:modified>
</cp:coreProperties>
</file>