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7475" tabRatio="500"/>
  </bookViews>
  <sheets>
    <sheet name="Hoja1" sheetId="1" r:id="rId1"/>
  </sheets>
  <externalReferences>
    <externalReference r:id="rId2"/>
    <externalReference r:id="rId3"/>
  </externalReferences>
  <definedNames>
    <definedName name="a">'[1]1. Cash Valuation'!$K$33</definedName>
    <definedName name="Agency">'[2]2. Cash Valuation'!$O$72</definedName>
    <definedName name="AP">#REF!</definedName>
    <definedName name="AR">#REF!</definedName>
    <definedName name="Cash_Yield">#REF!</definedName>
    <definedName name="DebtIRR">#REF!</definedName>
    <definedName name="DSCR">#REF!</definedName>
    <definedName name="EnergyCut">#REF!</definedName>
    <definedName name="EnergyCutDebt">#REF!</definedName>
    <definedName name="EquityIRR">#REF!</definedName>
    <definedName name="FCC_Capex">'[2]2. Cash Valuation'!$C$69</definedName>
    <definedName name="FCC_Opex">'[2]2. Cash Valuation'!$C$70</definedName>
    <definedName name="FCC_Production">'[2]2. Cash Valuation'!$C$68</definedName>
    <definedName name="GReg">#REF!</definedName>
    <definedName name="Infl">#REF!</definedName>
    <definedName name="Infl_Costs">'[2]2. Cash Valuation'!$O$77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41421.8905092593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e">#REF!</definedName>
    <definedName name="Legal">#REF!</definedName>
    <definedName name="Leverage">#REF!</definedName>
    <definedName name="MW">#REF!</definedName>
    <definedName name="OverExpCapex">#REF!</definedName>
    <definedName name="OverExpOp">#REF!</definedName>
    <definedName name="OverExpOpDebt">#REF!</definedName>
    <definedName name="Preferred_Dividend">#REF!</definedName>
    <definedName name="Preferred_Interest">#REF!</definedName>
    <definedName name="PVMW">#REF!</definedName>
    <definedName name="Rate">#REF!</definedName>
    <definedName name="Rate2">'[2]2. Cash Valuation'!$N$83</definedName>
    <definedName name="Retribution">'[2]2. Cash Valuation'!$O$73</definedName>
    <definedName name="rrrr">#REF!</definedName>
    <definedName name="Spawer">'[2]2. Cash Valuation'!$C$140</definedName>
    <definedName name="StartingPrice">#REF!</definedName>
    <definedName name="Tax">#REF!</definedName>
    <definedName name="Tenor">#REF!</definedName>
    <definedName name="TV">'[2]2. Cash Valuation'!$G$74</definedName>
    <definedName name="VAT">#REF!</definedName>
    <definedName name="WACC">#REF!</definedName>
    <definedName name="WTG">#REF!</definedName>
  </definedName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20" i="1"/>
  <c r="E32" i="1"/>
  <c r="E33" i="1"/>
  <c r="E30" i="1"/>
  <c r="E28" i="1"/>
  <c r="E22" i="1"/>
  <c r="E21" i="1"/>
  <c r="E34" i="1"/>
  <c r="E60" i="1"/>
  <c r="E47" i="1"/>
  <c r="E52" i="1"/>
  <c r="E45" i="1"/>
  <c r="E50" i="1"/>
  <c r="E46" i="1"/>
  <c r="E51" i="1"/>
  <c r="E53" i="1"/>
  <c r="E54" i="1"/>
  <c r="E56" i="1"/>
  <c r="E61" i="1"/>
  <c r="E62" i="1"/>
  <c r="E88" i="1"/>
  <c r="E89" i="1"/>
  <c r="E90" i="1"/>
  <c r="E64" i="1"/>
  <c r="E66" i="1"/>
  <c r="E82" i="1"/>
  <c r="E81" i="1"/>
  <c r="E91" i="1"/>
  <c r="E94" i="1"/>
  <c r="E96" i="1"/>
  <c r="F31" i="1"/>
  <c r="F20" i="1"/>
  <c r="F32" i="1"/>
  <c r="F33" i="1"/>
  <c r="F30" i="1"/>
  <c r="F23" i="1"/>
  <c r="F24" i="1"/>
  <c r="F25" i="1"/>
  <c r="F26" i="1"/>
  <c r="F27" i="1"/>
  <c r="F28" i="1"/>
  <c r="F29" i="1"/>
  <c r="F22" i="1"/>
  <c r="F21" i="1"/>
  <c r="F34" i="1"/>
  <c r="F60" i="1"/>
  <c r="F47" i="1"/>
  <c r="F52" i="1"/>
  <c r="F45" i="1"/>
  <c r="F50" i="1"/>
  <c r="F46" i="1"/>
  <c r="F51" i="1"/>
  <c r="F53" i="1"/>
  <c r="F54" i="1"/>
  <c r="F56" i="1"/>
  <c r="F61" i="1"/>
  <c r="F62" i="1"/>
  <c r="F88" i="1"/>
  <c r="F89" i="1"/>
  <c r="F90" i="1"/>
  <c r="F91" i="1"/>
  <c r="F94" i="1"/>
  <c r="F96" i="1"/>
  <c r="G31" i="1"/>
  <c r="G20" i="1"/>
  <c r="G32" i="1"/>
  <c r="G33" i="1"/>
  <c r="G30" i="1"/>
  <c r="G23" i="1"/>
  <c r="G24" i="1"/>
  <c r="G25" i="1"/>
  <c r="G26" i="1"/>
  <c r="G27" i="1"/>
  <c r="G28" i="1"/>
  <c r="G29" i="1"/>
  <c r="G22" i="1"/>
  <c r="G21" i="1"/>
  <c r="G34" i="1"/>
  <c r="G60" i="1"/>
  <c r="G47" i="1"/>
  <c r="G52" i="1"/>
  <c r="G45" i="1"/>
  <c r="G50" i="1"/>
  <c r="G46" i="1"/>
  <c r="G51" i="1"/>
  <c r="G53" i="1"/>
  <c r="G54" i="1"/>
  <c r="G56" i="1"/>
  <c r="G61" i="1"/>
  <c r="G62" i="1"/>
  <c r="G88" i="1"/>
  <c r="G89" i="1"/>
  <c r="G90" i="1"/>
  <c r="G91" i="1"/>
  <c r="G94" i="1"/>
  <c r="G96" i="1"/>
  <c r="H31" i="1"/>
  <c r="H20" i="1"/>
  <c r="H32" i="1"/>
  <c r="H33" i="1"/>
  <c r="H30" i="1"/>
  <c r="H23" i="1"/>
  <c r="H24" i="1"/>
  <c r="H25" i="1"/>
  <c r="H26" i="1"/>
  <c r="H27" i="1"/>
  <c r="H28" i="1"/>
  <c r="H29" i="1"/>
  <c r="H22" i="1"/>
  <c r="H21" i="1"/>
  <c r="H34" i="1"/>
  <c r="H60" i="1"/>
  <c r="H47" i="1"/>
  <c r="H52" i="1"/>
  <c r="H45" i="1"/>
  <c r="H50" i="1"/>
  <c r="H46" i="1"/>
  <c r="H51" i="1"/>
  <c r="H53" i="1"/>
  <c r="H54" i="1"/>
  <c r="H56" i="1"/>
  <c r="H61" i="1"/>
  <c r="H62" i="1"/>
  <c r="H88" i="1"/>
  <c r="H89" i="1"/>
  <c r="H90" i="1"/>
  <c r="H91" i="1"/>
  <c r="H94" i="1"/>
  <c r="H96" i="1"/>
  <c r="I31" i="1"/>
  <c r="I20" i="1"/>
  <c r="I32" i="1"/>
  <c r="I33" i="1"/>
  <c r="I30" i="1"/>
  <c r="I23" i="1"/>
  <c r="I24" i="1"/>
  <c r="I25" i="1"/>
  <c r="I26" i="1"/>
  <c r="I27" i="1"/>
  <c r="I28" i="1"/>
  <c r="I29" i="1"/>
  <c r="I22" i="1"/>
  <c r="I21" i="1"/>
  <c r="I34" i="1"/>
  <c r="I60" i="1"/>
  <c r="I47" i="1"/>
  <c r="I52" i="1"/>
  <c r="I45" i="1"/>
  <c r="I50" i="1"/>
  <c r="I46" i="1"/>
  <c r="I51" i="1"/>
  <c r="I53" i="1"/>
  <c r="I54" i="1"/>
  <c r="I56" i="1"/>
  <c r="I61" i="1"/>
  <c r="I62" i="1"/>
  <c r="I88" i="1"/>
  <c r="I89" i="1"/>
  <c r="I90" i="1"/>
  <c r="I91" i="1"/>
  <c r="I94" i="1"/>
  <c r="I96" i="1"/>
  <c r="J31" i="1"/>
  <c r="J20" i="1"/>
  <c r="J32" i="1"/>
  <c r="J33" i="1"/>
  <c r="J30" i="1"/>
  <c r="J23" i="1"/>
  <c r="J24" i="1"/>
  <c r="J25" i="1"/>
  <c r="J26" i="1"/>
  <c r="J27" i="1"/>
  <c r="J28" i="1"/>
  <c r="J29" i="1"/>
  <c r="J22" i="1"/>
  <c r="J21" i="1"/>
  <c r="J34" i="1"/>
  <c r="J60" i="1"/>
  <c r="J47" i="1"/>
  <c r="J52" i="1"/>
  <c r="J45" i="1"/>
  <c r="J50" i="1"/>
  <c r="J46" i="1"/>
  <c r="J51" i="1"/>
  <c r="J53" i="1"/>
  <c r="J54" i="1"/>
  <c r="J56" i="1"/>
  <c r="J61" i="1"/>
  <c r="J62" i="1"/>
  <c r="J88" i="1"/>
  <c r="J89" i="1"/>
  <c r="J90" i="1"/>
  <c r="J91" i="1"/>
  <c r="J94" i="1"/>
  <c r="J96" i="1"/>
  <c r="K31" i="1"/>
  <c r="K20" i="1"/>
  <c r="K32" i="1"/>
  <c r="K33" i="1"/>
  <c r="K30" i="1"/>
  <c r="K23" i="1"/>
  <c r="K24" i="1"/>
  <c r="K25" i="1"/>
  <c r="K26" i="1"/>
  <c r="K27" i="1"/>
  <c r="K28" i="1"/>
  <c r="K29" i="1"/>
  <c r="K22" i="1"/>
  <c r="K21" i="1"/>
  <c r="K34" i="1"/>
  <c r="K60" i="1"/>
  <c r="K47" i="1"/>
  <c r="K52" i="1"/>
  <c r="K45" i="1"/>
  <c r="K50" i="1"/>
  <c r="K46" i="1"/>
  <c r="K51" i="1"/>
  <c r="K53" i="1"/>
  <c r="K54" i="1"/>
  <c r="K56" i="1"/>
  <c r="K61" i="1"/>
  <c r="K62" i="1"/>
  <c r="K88" i="1"/>
  <c r="K89" i="1"/>
  <c r="K90" i="1"/>
  <c r="K91" i="1"/>
  <c r="K94" i="1"/>
  <c r="K96" i="1"/>
  <c r="L31" i="1"/>
  <c r="L20" i="1"/>
  <c r="L32" i="1"/>
  <c r="L33" i="1"/>
  <c r="L30" i="1"/>
  <c r="L23" i="1"/>
  <c r="L24" i="1"/>
  <c r="L25" i="1"/>
  <c r="L26" i="1"/>
  <c r="L27" i="1"/>
  <c r="L28" i="1"/>
  <c r="L29" i="1"/>
  <c r="L22" i="1"/>
  <c r="L21" i="1"/>
  <c r="L34" i="1"/>
  <c r="L60" i="1"/>
  <c r="L47" i="1"/>
  <c r="L52" i="1"/>
  <c r="L45" i="1"/>
  <c r="L50" i="1"/>
  <c r="L46" i="1"/>
  <c r="L51" i="1"/>
  <c r="L53" i="1"/>
  <c r="L54" i="1"/>
  <c r="L56" i="1"/>
  <c r="L61" i="1"/>
  <c r="L62" i="1"/>
  <c r="L88" i="1"/>
  <c r="L89" i="1"/>
  <c r="L90" i="1"/>
  <c r="L91" i="1"/>
  <c r="L94" i="1"/>
  <c r="L96" i="1"/>
  <c r="M31" i="1"/>
  <c r="M20" i="1"/>
  <c r="M32" i="1"/>
  <c r="M33" i="1"/>
  <c r="M30" i="1"/>
  <c r="M23" i="1"/>
  <c r="M24" i="1"/>
  <c r="M25" i="1"/>
  <c r="M26" i="1"/>
  <c r="M27" i="1"/>
  <c r="M28" i="1"/>
  <c r="M29" i="1"/>
  <c r="M22" i="1"/>
  <c r="M21" i="1"/>
  <c r="M34" i="1"/>
  <c r="M60" i="1"/>
  <c r="M47" i="1"/>
  <c r="M52" i="1"/>
  <c r="M45" i="1"/>
  <c r="M50" i="1"/>
  <c r="M46" i="1"/>
  <c r="M51" i="1"/>
  <c r="M53" i="1"/>
  <c r="M54" i="1"/>
  <c r="M56" i="1"/>
  <c r="M61" i="1"/>
  <c r="M62" i="1"/>
  <c r="M88" i="1"/>
  <c r="M89" i="1"/>
  <c r="M90" i="1"/>
  <c r="M91" i="1"/>
  <c r="M94" i="1"/>
  <c r="M96" i="1"/>
  <c r="N31" i="1"/>
  <c r="N20" i="1"/>
  <c r="N32" i="1"/>
  <c r="N33" i="1"/>
  <c r="N30" i="1"/>
  <c r="N23" i="1"/>
  <c r="N24" i="1"/>
  <c r="N25" i="1"/>
  <c r="N26" i="1"/>
  <c r="N27" i="1"/>
  <c r="N28" i="1"/>
  <c r="N29" i="1"/>
  <c r="N22" i="1"/>
  <c r="N21" i="1"/>
  <c r="N34" i="1"/>
  <c r="N60" i="1"/>
  <c r="N47" i="1"/>
  <c r="N52" i="1"/>
  <c r="N45" i="1"/>
  <c r="N50" i="1"/>
  <c r="N46" i="1"/>
  <c r="N51" i="1"/>
  <c r="N53" i="1"/>
  <c r="N54" i="1"/>
  <c r="N56" i="1"/>
  <c r="N61" i="1"/>
  <c r="N62" i="1"/>
  <c r="N88" i="1"/>
  <c r="N89" i="1"/>
  <c r="N90" i="1"/>
  <c r="N91" i="1"/>
  <c r="N94" i="1"/>
  <c r="N96" i="1"/>
  <c r="O31" i="1"/>
  <c r="O20" i="1"/>
  <c r="O32" i="1"/>
  <c r="O33" i="1"/>
  <c r="O30" i="1"/>
  <c r="O23" i="1"/>
  <c r="O24" i="1"/>
  <c r="O25" i="1"/>
  <c r="O26" i="1"/>
  <c r="O27" i="1"/>
  <c r="O28" i="1"/>
  <c r="O29" i="1"/>
  <c r="O22" i="1"/>
  <c r="O21" i="1"/>
  <c r="O34" i="1"/>
  <c r="O60" i="1"/>
  <c r="O47" i="1"/>
  <c r="O52" i="1"/>
  <c r="O45" i="1"/>
  <c r="O50" i="1"/>
  <c r="O46" i="1"/>
  <c r="O51" i="1"/>
  <c r="O53" i="1"/>
  <c r="O54" i="1"/>
  <c r="O56" i="1"/>
  <c r="O61" i="1"/>
  <c r="O62" i="1"/>
  <c r="O88" i="1"/>
  <c r="O89" i="1"/>
  <c r="O90" i="1"/>
  <c r="O91" i="1"/>
  <c r="O94" i="1"/>
  <c r="O96" i="1"/>
  <c r="P31" i="1"/>
  <c r="P20" i="1"/>
  <c r="P32" i="1"/>
  <c r="P33" i="1"/>
  <c r="P30" i="1"/>
  <c r="P23" i="1"/>
  <c r="P24" i="1"/>
  <c r="P25" i="1"/>
  <c r="P26" i="1"/>
  <c r="P27" i="1"/>
  <c r="P28" i="1"/>
  <c r="P29" i="1"/>
  <c r="P22" i="1"/>
  <c r="P21" i="1"/>
  <c r="P34" i="1"/>
  <c r="P60" i="1"/>
  <c r="P47" i="1"/>
  <c r="P52" i="1"/>
  <c r="P45" i="1"/>
  <c r="P50" i="1"/>
  <c r="P46" i="1"/>
  <c r="P51" i="1"/>
  <c r="P53" i="1"/>
  <c r="P54" i="1"/>
  <c r="P56" i="1"/>
  <c r="P61" i="1"/>
  <c r="P62" i="1"/>
  <c r="P88" i="1"/>
  <c r="P89" i="1"/>
  <c r="P90" i="1"/>
  <c r="P91" i="1"/>
  <c r="P94" i="1"/>
  <c r="P96" i="1"/>
  <c r="Q31" i="1"/>
  <c r="Q20" i="1"/>
  <c r="Q32" i="1"/>
  <c r="Q33" i="1"/>
  <c r="Q30" i="1"/>
  <c r="Q23" i="1"/>
  <c r="Q24" i="1"/>
  <c r="Q25" i="1"/>
  <c r="Q26" i="1"/>
  <c r="Q27" i="1"/>
  <c r="Q28" i="1"/>
  <c r="Q29" i="1"/>
  <c r="Q22" i="1"/>
  <c r="Q21" i="1"/>
  <c r="Q34" i="1"/>
  <c r="Q60" i="1"/>
  <c r="Q47" i="1"/>
  <c r="Q52" i="1"/>
  <c r="Q45" i="1"/>
  <c r="Q50" i="1"/>
  <c r="Q46" i="1"/>
  <c r="Q51" i="1"/>
  <c r="Q53" i="1"/>
  <c r="Q54" i="1"/>
  <c r="Q56" i="1"/>
  <c r="Q61" i="1"/>
  <c r="Q62" i="1"/>
  <c r="Q88" i="1"/>
  <c r="Q89" i="1"/>
  <c r="Q90" i="1"/>
  <c r="Q91" i="1"/>
  <c r="Q94" i="1"/>
  <c r="Q96" i="1"/>
  <c r="R31" i="1"/>
  <c r="R20" i="1"/>
  <c r="R32" i="1"/>
  <c r="R33" i="1"/>
  <c r="R30" i="1"/>
  <c r="R23" i="1"/>
  <c r="R24" i="1"/>
  <c r="R25" i="1"/>
  <c r="R26" i="1"/>
  <c r="R27" i="1"/>
  <c r="R28" i="1"/>
  <c r="R29" i="1"/>
  <c r="R22" i="1"/>
  <c r="R21" i="1"/>
  <c r="R34" i="1"/>
  <c r="R60" i="1"/>
  <c r="R47" i="1"/>
  <c r="R52" i="1"/>
  <c r="R45" i="1"/>
  <c r="R50" i="1"/>
  <c r="R46" i="1"/>
  <c r="R51" i="1"/>
  <c r="R53" i="1"/>
  <c r="R54" i="1"/>
  <c r="R56" i="1"/>
  <c r="R61" i="1"/>
  <c r="R62" i="1"/>
  <c r="R88" i="1"/>
  <c r="R89" i="1"/>
  <c r="R90" i="1"/>
  <c r="R91" i="1"/>
  <c r="R94" i="1"/>
  <c r="R96" i="1"/>
  <c r="S31" i="1"/>
  <c r="S20" i="1"/>
  <c r="S32" i="1"/>
  <c r="S33" i="1"/>
  <c r="S30" i="1"/>
  <c r="S23" i="1"/>
  <c r="S24" i="1"/>
  <c r="S25" i="1"/>
  <c r="S26" i="1"/>
  <c r="S27" i="1"/>
  <c r="S28" i="1"/>
  <c r="S29" i="1"/>
  <c r="S22" i="1"/>
  <c r="S21" i="1"/>
  <c r="S34" i="1"/>
  <c r="S60" i="1"/>
  <c r="S47" i="1"/>
  <c r="S52" i="1"/>
  <c r="S45" i="1"/>
  <c r="S50" i="1"/>
  <c r="S46" i="1"/>
  <c r="S51" i="1"/>
  <c r="S53" i="1"/>
  <c r="S54" i="1"/>
  <c r="S56" i="1"/>
  <c r="S61" i="1"/>
  <c r="S62" i="1"/>
  <c r="S88" i="1"/>
  <c r="S89" i="1"/>
  <c r="S90" i="1"/>
  <c r="S91" i="1"/>
  <c r="S94" i="1"/>
  <c r="S96" i="1"/>
  <c r="T31" i="1"/>
  <c r="T20" i="1"/>
  <c r="T32" i="1"/>
  <c r="T33" i="1"/>
  <c r="T30" i="1"/>
  <c r="T23" i="1"/>
  <c r="T24" i="1"/>
  <c r="T25" i="1"/>
  <c r="T26" i="1"/>
  <c r="T27" i="1"/>
  <c r="T28" i="1"/>
  <c r="T29" i="1"/>
  <c r="T22" i="1"/>
  <c r="T21" i="1"/>
  <c r="T34" i="1"/>
  <c r="T60" i="1"/>
  <c r="T47" i="1"/>
  <c r="T52" i="1"/>
  <c r="T45" i="1"/>
  <c r="T50" i="1"/>
  <c r="T46" i="1"/>
  <c r="T51" i="1"/>
  <c r="T53" i="1"/>
  <c r="T54" i="1"/>
  <c r="T56" i="1"/>
  <c r="T61" i="1"/>
  <c r="T62" i="1"/>
  <c r="T88" i="1"/>
  <c r="T89" i="1"/>
  <c r="T90" i="1"/>
  <c r="T91" i="1"/>
  <c r="T94" i="1"/>
  <c r="T96" i="1"/>
  <c r="U88" i="1"/>
  <c r="F92" i="1"/>
  <c r="F93" i="1"/>
  <c r="E92" i="1"/>
  <c r="E93" i="1"/>
  <c r="E95" i="1"/>
  <c r="E98" i="1"/>
  <c r="E78" i="1"/>
  <c r="E102" i="1"/>
  <c r="E101" i="1"/>
  <c r="E103" i="1"/>
  <c r="E104" i="1"/>
  <c r="E105" i="1"/>
  <c r="F101" i="1"/>
  <c r="F36" i="1"/>
  <c r="F37" i="1"/>
  <c r="F108" i="1"/>
  <c r="F113" i="1"/>
  <c r="F127" i="1"/>
  <c r="D127" i="1"/>
  <c r="F129" i="1"/>
  <c r="G92" i="1"/>
  <c r="G93" i="1"/>
  <c r="F102" i="1"/>
  <c r="F103" i="1"/>
  <c r="F95" i="1"/>
  <c r="F98" i="1"/>
  <c r="F104" i="1"/>
  <c r="F105" i="1"/>
  <c r="G101" i="1"/>
  <c r="G36" i="1"/>
  <c r="G37" i="1"/>
  <c r="G108" i="1"/>
  <c r="G113" i="1"/>
  <c r="G127" i="1"/>
  <c r="G129" i="1"/>
  <c r="H92" i="1"/>
  <c r="H93" i="1"/>
  <c r="G102" i="1"/>
  <c r="G103" i="1"/>
  <c r="G95" i="1"/>
  <c r="G98" i="1"/>
  <c r="G104" i="1"/>
  <c r="G105" i="1"/>
  <c r="H101" i="1"/>
  <c r="H36" i="1"/>
  <c r="H37" i="1"/>
  <c r="H108" i="1"/>
  <c r="H113" i="1"/>
  <c r="H127" i="1"/>
  <c r="H129" i="1"/>
  <c r="I92" i="1"/>
  <c r="I93" i="1"/>
  <c r="H102" i="1"/>
  <c r="H103" i="1"/>
  <c r="H95" i="1"/>
  <c r="H98" i="1"/>
  <c r="H104" i="1"/>
  <c r="H105" i="1"/>
  <c r="I101" i="1"/>
  <c r="I36" i="1"/>
  <c r="I37" i="1"/>
  <c r="I108" i="1"/>
  <c r="I113" i="1"/>
  <c r="I127" i="1"/>
  <c r="I129" i="1"/>
  <c r="J92" i="1"/>
  <c r="J93" i="1"/>
  <c r="I102" i="1"/>
  <c r="I103" i="1"/>
  <c r="I95" i="1"/>
  <c r="I98" i="1"/>
  <c r="I104" i="1"/>
  <c r="I105" i="1"/>
  <c r="J101" i="1"/>
  <c r="J36" i="1"/>
  <c r="J37" i="1"/>
  <c r="J108" i="1"/>
  <c r="J113" i="1"/>
  <c r="J127" i="1"/>
  <c r="J129" i="1"/>
  <c r="K92" i="1"/>
  <c r="K93" i="1"/>
  <c r="J102" i="1"/>
  <c r="J103" i="1"/>
  <c r="J95" i="1"/>
  <c r="J98" i="1"/>
  <c r="J104" i="1"/>
  <c r="J105" i="1"/>
  <c r="K101" i="1"/>
  <c r="K36" i="1"/>
  <c r="K37" i="1"/>
  <c r="K108" i="1"/>
  <c r="K113" i="1"/>
  <c r="K127" i="1"/>
  <c r="K129" i="1"/>
  <c r="L92" i="1"/>
  <c r="L93" i="1"/>
  <c r="K102" i="1"/>
  <c r="K103" i="1"/>
  <c r="K95" i="1"/>
  <c r="K98" i="1"/>
  <c r="K104" i="1"/>
  <c r="K105" i="1"/>
  <c r="L101" i="1"/>
  <c r="L36" i="1"/>
  <c r="L37" i="1"/>
  <c r="L108" i="1"/>
  <c r="L113" i="1"/>
  <c r="L127" i="1"/>
  <c r="L129" i="1"/>
  <c r="M92" i="1"/>
  <c r="M93" i="1"/>
  <c r="L102" i="1"/>
  <c r="L103" i="1"/>
  <c r="L95" i="1"/>
  <c r="L98" i="1"/>
  <c r="L104" i="1"/>
  <c r="L105" i="1"/>
  <c r="M101" i="1"/>
  <c r="M36" i="1"/>
  <c r="M37" i="1"/>
  <c r="M108" i="1"/>
  <c r="M113" i="1"/>
  <c r="M127" i="1"/>
  <c r="M129" i="1"/>
  <c r="N92" i="1"/>
  <c r="N93" i="1"/>
  <c r="M102" i="1"/>
  <c r="M103" i="1"/>
  <c r="M95" i="1"/>
  <c r="M98" i="1"/>
  <c r="M104" i="1"/>
  <c r="M105" i="1"/>
  <c r="N101" i="1"/>
  <c r="N36" i="1"/>
  <c r="N37" i="1"/>
  <c r="N108" i="1"/>
  <c r="N113" i="1"/>
  <c r="N127" i="1"/>
  <c r="N129" i="1"/>
  <c r="O92" i="1"/>
  <c r="O93" i="1"/>
  <c r="N102" i="1"/>
  <c r="N103" i="1"/>
  <c r="N95" i="1"/>
  <c r="N98" i="1"/>
  <c r="N104" i="1"/>
  <c r="N105" i="1"/>
  <c r="O101" i="1"/>
  <c r="O36" i="1"/>
  <c r="O37" i="1"/>
  <c r="O108" i="1"/>
  <c r="O113" i="1"/>
  <c r="O127" i="1"/>
  <c r="O129" i="1"/>
  <c r="P92" i="1"/>
  <c r="P93" i="1"/>
  <c r="O102" i="1"/>
  <c r="O103" i="1"/>
  <c r="O95" i="1"/>
  <c r="O98" i="1"/>
  <c r="O104" i="1"/>
  <c r="O105" i="1"/>
  <c r="P101" i="1"/>
  <c r="P36" i="1"/>
  <c r="P37" i="1"/>
  <c r="P108" i="1"/>
  <c r="P113" i="1"/>
  <c r="P127" i="1"/>
  <c r="P129" i="1"/>
  <c r="Q92" i="1"/>
  <c r="Q93" i="1"/>
  <c r="P102" i="1"/>
  <c r="P103" i="1"/>
  <c r="P95" i="1"/>
  <c r="P98" i="1"/>
  <c r="P104" i="1"/>
  <c r="P105" i="1"/>
  <c r="Q101" i="1"/>
  <c r="Q36" i="1"/>
  <c r="Q37" i="1"/>
  <c r="Q108" i="1"/>
  <c r="Q113" i="1"/>
  <c r="Q127" i="1"/>
  <c r="Q129" i="1"/>
  <c r="R92" i="1"/>
  <c r="R93" i="1"/>
  <c r="Q102" i="1"/>
  <c r="Q103" i="1"/>
  <c r="Q95" i="1"/>
  <c r="Q98" i="1"/>
  <c r="Q104" i="1"/>
  <c r="Q105" i="1"/>
  <c r="R101" i="1"/>
  <c r="R36" i="1"/>
  <c r="R37" i="1"/>
  <c r="R108" i="1"/>
  <c r="R113" i="1"/>
  <c r="R127" i="1"/>
  <c r="R129" i="1"/>
  <c r="S92" i="1"/>
  <c r="S93" i="1"/>
  <c r="R102" i="1"/>
  <c r="R103" i="1"/>
  <c r="R95" i="1"/>
  <c r="R98" i="1"/>
  <c r="R104" i="1"/>
  <c r="R105" i="1"/>
  <c r="S101" i="1"/>
  <c r="S36" i="1"/>
  <c r="S37" i="1"/>
  <c r="S108" i="1"/>
  <c r="S113" i="1"/>
  <c r="S127" i="1"/>
  <c r="S129" i="1"/>
  <c r="T92" i="1"/>
  <c r="T93" i="1"/>
  <c r="S102" i="1"/>
  <c r="S103" i="1"/>
  <c r="S95" i="1"/>
  <c r="S98" i="1"/>
  <c r="S104" i="1"/>
  <c r="S105" i="1"/>
  <c r="T101" i="1"/>
  <c r="T36" i="1"/>
  <c r="T37" i="1"/>
  <c r="T108" i="1"/>
  <c r="T113" i="1"/>
  <c r="T127" i="1"/>
  <c r="T129" i="1"/>
  <c r="U92" i="1"/>
  <c r="U31" i="1"/>
  <c r="U20" i="1"/>
  <c r="U32" i="1"/>
  <c r="U33" i="1"/>
  <c r="U30" i="1"/>
  <c r="U23" i="1"/>
  <c r="U24" i="1"/>
  <c r="U25" i="1"/>
  <c r="U26" i="1"/>
  <c r="U27" i="1"/>
  <c r="U28" i="1"/>
  <c r="U29" i="1"/>
  <c r="U22" i="1"/>
  <c r="U21" i="1"/>
  <c r="U34" i="1"/>
  <c r="U60" i="1"/>
  <c r="U47" i="1"/>
  <c r="U52" i="1"/>
  <c r="U45" i="1"/>
  <c r="U50" i="1"/>
  <c r="U46" i="1"/>
  <c r="U51" i="1"/>
  <c r="U53" i="1"/>
  <c r="U54" i="1"/>
  <c r="U56" i="1"/>
  <c r="U61" i="1"/>
  <c r="U62" i="1"/>
  <c r="U89" i="1"/>
  <c r="U90" i="1"/>
  <c r="U91" i="1"/>
  <c r="U93" i="1"/>
  <c r="T102" i="1"/>
  <c r="T103" i="1"/>
  <c r="T95" i="1"/>
  <c r="T98" i="1"/>
  <c r="T104" i="1"/>
  <c r="T105" i="1"/>
  <c r="U101" i="1"/>
  <c r="U36" i="1"/>
  <c r="U37" i="1"/>
  <c r="U108" i="1"/>
  <c r="U113" i="1"/>
  <c r="U127" i="1"/>
  <c r="U129" i="1"/>
  <c r="U102" i="1"/>
  <c r="U103" i="1"/>
  <c r="U94" i="1"/>
  <c r="U95" i="1"/>
  <c r="U98" i="1"/>
  <c r="U104" i="1"/>
  <c r="U105" i="1"/>
  <c r="V101" i="1"/>
  <c r="V31" i="1"/>
  <c r="V20" i="1"/>
  <c r="V32" i="1"/>
  <c r="V33" i="1"/>
  <c r="V30" i="1"/>
  <c r="V23" i="1"/>
  <c r="V24" i="1"/>
  <c r="V25" i="1"/>
  <c r="V26" i="1"/>
  <c r="V27" i="1"/>
  <c r="V28" i="1"/>
  <c r="V29" i="1"/>
  <c r="V22" i="1"/>
  <c r="V21" i="1"/>
  <c r="V34" i="1"/>
  <c r="V36" i="1"/>
  <c r="V37" i="1"/>
  <c r="V108" i="1"/>
  <c r="V113" i="1"/>
  <c r="V60" i="1"/>
  <c r="V47" i="1"/>
  <c r="V52" i="1"/>
  <c r="V45" i="1"/>
  <c r="V50" i="1"/>
  <c r="V46" i="1"/>
  <c r="V51" i="1"/>
  <c r="V53" i="1"/>
  <c r="V54" i="1"/>
  <c r="V56" i="1"/>
  <c r="V61" i="1"/>
  <c r="V62" i="1"/>
  <c r="V127" i="1"/>
  <c r="V129" i="1"/>
  <c r="V102" i="1"/>
  <c r="V103" i="1"/>
  <c r="V98" i="1"/>
  <c r="V104" i="1"/>
  <c r="V105" i="1"/>
  <c r="W101" i="1"/>
  <c r="W31" i="1"/>
  <c r="W20" i="1"/>
  <c r="W32" i="1"/>
  <c r="W33" i="1"/>
  <c r="W30" i="1"/>
  <c r="W23" i="1"/>
  <c r="W24" i="1"/>
  <c r="W25" i="1"/>
  <c r="W26" i="1"/>
  <c r="W27" i="1"/>
  <c r="W28" i="1"/>
  <c r="W29" i="1"/>
  <c r="W22" i="1"/>
  <c r="W21" i="1"/>
  <c r="W34" i="1"/>
  <c r="W36" i="1"/>
  <c r="W37" i="1"/>
  <c r="W108" i="1"/>
  <c r="W113" i="1"/>
  <c r="W60" i="1"/>
  <c r="W47" i="1"/>
  <c r="W52" i="1"/>
  <c r="W45" i="1"/>
  <c r="W50" i="1"/>
  <c r="W46" i="1"/>
  <c r="W51" i="1"/>
  <c r="W53" i="1"/>
  <c r="W54" i="1"/>
  <c r="W56" i="1"/>
  <c r="W61" i="1"/>
  <c r="W62" i="1"/>
  <c r="W127" i="1"/>
  <c r="W129" i="1"/>
  <c r="W102" i="1"/>
  <c r="W103" i="1"/>
  <c r="W98" i="1"/>
  <c r="W104" i="1"/>
  <c r="W105" i="1"/>
  <c r="X101" i="1"/>
  <c r="X31" i="1"/>
  <c r="X20" i="1"/>
  <c r="X32" i="1"/>
  <c r="X33" i="1"/>
  <c r="X30" i="1"/>
  <c r="X23" i="1"/>
  <c r="X24" i="1"/>
  <c r="X25" i="1"/>
  <c r="X26" i="1"/>
  <c r="X27" i="1"/>
  <c r="X28" i="1"/>
  <c r="X29" i="1"/>
  <c r="X22" i="1"/>
  <c r="X21" i="1"/>
  <c r="X34" i="1"/>
  <c r="X36" i="1"/>
  <c r="X37" i="1"/>
  <c r="X108" i="1"/>
  <c r="X113" i="1"/>
  <c r="X60" i="1"/>
  <c r="X47" i="1"/>
  <c r="X52" i="1"/>
  <c r="X45" i="1"/>
  <c r="X50" i="1"/>
  <c r="X46" i="1"/>
  <c r="X51" i="1"/>
  <c r="X53" i="1"/>
  <c r="X54" i="1"/>
  <c r="X56" i="1"/>
  <c r="X61" i="1"/>
  <c r="X62" i="1"/>
  <c r="X127" i="1"/>
  <c r="X129" i="1"/>
  <c r="E36" i="1"/>
  <c r="E37" i="1"/>
  <c r="E108" i="1"/>
  <c r="E113" i="1"/>
  <c r="E127" i="1"/>
  <c r="E129" i="1"/>
  <c r="B131" i="1"/>
  <c r="D128" i="1"/>
  <c r="D121" i="1"/>
  <c r="E118" i="1"/>
  <c r="E121" i="1"/>
  <c r="F118" i="1"/>
  <c r="F121" i="1"/>
  <c r="G118" i="1"/>
  <c r="G121" i="1"/>
  <c r="H118" i="1"/>
  <c r="H121" i="1"/>
  <c r="I118" i="1"/>
  <c r="I121" i="1"/>
  <c r="J118" i="1"/>
  <c r="J121" i="1"/>
  <c r="K118" i="1"/>
  <c r="K121" i="1"/>
  <c r="L118" i="1"/>
  <c r="L121" i="1"/>
  <c r="M118" i="1"/>
  <c r="M121" i="1"/>
  <c r="N118" i="1"/>
  <c r="N121" i="1"/>
  <c r="O118" i="1"/>
  <c r="O121" i="1"/>
  <c r="P118" i="1"/>
  <c r="P121" i="1"/>
  <c r="Q118" i="1"/>
  <c r="Q121" i="1"/>
  <c r="R118" i="1"/>
  <c r="R121" i="1"/>
  <c r="S118" i="1"/>
  <c r="S121" i="1"/>
  <c r="T118" i="1"/>
  <c r="T121" i="1"/>
  <c r="U118" i="1"/>
  <c r="U121" i="1"/>
  <c r="V118" i="1"/>
  <c r="V121" i="1"/>
  <c r="W118" i="1"/>
  <c r="W121" i="1"/>
  <c r="X102" i="1"/>
  <c r="X103" i="1"/>
  <c r="X98" i="1"/>
  <c r="X104" i="1"/>
  <c r="X118" i="1"/>
  <c r="X121" i="1"/>
  <c r="B125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2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X105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U96" i="1"/>
  <c r="V94" i="1"/>
  <c r="V96" i="1"/>
  <c r="E67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11" i="1"/>
  <c r="D10" i="1"/>
</calcChain>
</file>

<file path=xl/sharedStrings.xml><?xml version="1.0" encoding="utf-8"?>
<sst xmlns="http://schemas.openxmlformats.org/spreadsheetml/2006/main" count="288" uniqueCount="135">
  <si>
    <t>Bottom up production</t>
  </si>
  <si>
    <t>Number of Turbines</t>
  </si>
  <si>
    <t>MW / WTG</t>
  </si>
  <si>
    <t>Equivalent hours</t>
  </si>
  <si>
    <t>MW</t>
  </si>
  <si>
    <t>Vento 1</t>
  </si>
  <si>
    <t>Annual Energy Production - P50</t>
  </si>
  <si>
    <t>MWh/year</t>
  </si>
  <si>
    <t>Annual Energy Produced</t>
  </si>
  <si>
    <t>Dec-13</t>
  </si>
  <si>
    <t>Total Energy Produced</t>
  </si>
  <si>
    <t>Equivalent Hours</t>
  </si>
  <si>
    <t>Hours</t>
  </si>
  <si>
    <t>Load factor</t>
  </si>
  <si>
    <t>Expected CPI - Applicable to Opex</t>
  </si>
  <si>
    <t>Pricing Scheme</t>
  </si>
  <si>
    <t>Fixed Tariff</t>
  </si>
  <si>
    <t>Expected CPI applicable to FiT based Tariffs</t>
  </si>
  <si>
    <t>%</t>
  </si>
  <si>
    <t>Applicable Tariff for first 25 years of operation</t>
  </si>
  <si>
    <t>EUR/MWh</t>
  </si>
  <si>
    <t>CPI Adjustment Applicable to FiT based Tariffs</t>
  </si>
  <si>
    <t>Applicable Tariff after year 25</t>
  </si>
  <si>
    <t>P&amp;L</t>
  </si>
  <si>
    <t>Net Sales</t>
  </si>
  <si>
    <t>Total Operating Costs</t>
  </si>
  <si>
    <t>EUR</t>
  </si>
  <si>
    <t>Fixed costs</t>
  </si>
  <si>
    <t>Local Taxes</t>
  </si>
  <si>
    <t>Land rental - fixed part</t>
  </si>
  <si>
    <t>IM Future costs</t>
  </si>
  <si>
    <t>Insurances</t>
  </si>
  <si>
    <t>Other Operating Expenses</t>
  </si>
  <si>
    <t>Agency Fee</t>
  </si>
  <si>
    <t>Other expenses</t>
  </si>
  <si>
    <t>Variable costs</t>
  </si>
  <si>
    <t>O&amp;M Cost</t>
  </si>
  <si>
    <t>Generation Tax</t>
  </si>
  <si>
    <t>Toll Fee</t>
  </si>
  <si>
    <t>EBITDA</t>
  </si>
  <si>
    <t>EUR Mn</t>
  </si>
  <si>
    <t>% Margin</t>
  </si>
  <si>
    <t>Depreciation and Amortization Expense</t>
  </si>
  <si>
    <t>EBIT</t>
  </si>
  <si>
    <t>Working Capital</t>
  </si>
  <si>
    <t>Dec-14</t>
  </si>
  <si>
    <t>Dec-15</t>
  </si>
  <si>
    <t>Dec-16</t>
  </si>
  <si>
    <t>Dec-17</t>
  </si>
  <si>
    <t>Dec-18</t>
  </si>
  <si>
    <t>Dec-19</t>
  </si>
  <si>
    <t>Dec-20</t>
  </si>
  <si>
    <t>Dec-21</t>
  </si>
  <si>
    <t>Dec-22</t>
  </si>
  <si>
    <t>Dec-23</t>
  </si>
  <si>
    <t>Dec-24</t>
  </si>
  <si>
    <t>Dec-25</t>
  </si>
  <si>
    <t>Dec-26</t>
  </si>
  <si>
    <t>Dec-27</t>
  </si>
  <si>
    <t>Dec-28</t>
  </si>
  <si>
    <t>Dec-29</t>
  </si>
  <si>
    <t>Dec-30</t>
  </si>
  <si>
    <t>Dec-31</t>
  </si>
  <si>
    <t>Dec-32</t>
  </si>
  <si>
    <t>% of Production sold through MEFF and OMEL</t>
  </si>
  <si>
    <t>% of Production sold through distributors</t>
  </si>
  <si>
    <t>Revenues (MEFF &amp; OMEL)</t>
  </si>
  <si>
    <t>Revenues (Distributors)</t>
  </si>
  <si>
    <t>Operating costs</t>
  </si>
  <si>
    <t>Days</t>
  </si>
  <si>
    <t>Net Receivables (MEFF &amp; OMEL)</t>
  </si>
  <si>
    <t>Net Receivables (Distributors)</t>
  </si>
  <si>
    <t>Net Payables</t>
  </si>
  <si>
    <t>Net WC</t>
  </si>
  <si>
    <t>Change of WC</t>
  </si>
  <si>
    <t>Impact on CF</t>
  </si>
  <si>
    <t>Cash flows</t>
  </si>
  <si>
    <t>Change in WC</t>
  </si>
  <si>
    <t>Pre-Debt FCFF</t>
  </si>
  <si>
    <t>Net Assets BoP - Tangible Fixed Assets</t>
  </si>
  <si>
    <t>Net Assets BoP - Intangible Fixed Assets</t>
  </si>
  <si>
    <t>Net Assets BoP - Total Fixed Assets</t>
  </si>
  <si>
    <t>Net Assets BoP - Total Fixed Assets/MW</t>
  </si>
  <si>
    <t>EUR Mn/MW</t>
  </si>
  <si>
    <t>Financing Inputs</t>
  </si>
  <si>
    <t>Eur 12m Curve</t>
  </si>
  <si>
    <t>Applicable Swap Rate</t>
  </si>
  <si>
    <t>Senior Debt Fixed Rate</t>
  </si>
  <si>
    <t>Timing Years</t>
  </si>
  <si>
    <t>DSCR and Margins</t>
  </si>
  <si>
    <t>Subordinated Debt Spread</t>
  </si>
  <si>
    <t>Timing Subordinated Debt</t>
  </si>
  <si>
    <t>Minimun DSCR for restricted payments</t>
  </si>
  <si>
    <t>covenant</t>
  </si>
  <si>
    <t>1,15x</t>
  </si>
  <si>
    <t>1,45x</t>
  </si>
  <si>
    <t>Senior Facility BoP</t>
  </si>
  <si>
    <t>Total Investment</t>
  </si>
  <si>
    <t>Project Finance-Senior Debt</t>
  </si>
  <si>
    <t>Equity from Investors</t>
  </si>
  <si>
    <t>Financing</t>
  </si>
  <si>
    <t>Debt Service</t>
  </si>
  <si>
    <t>Real DSCR</t>
  </si>
  <si>
    <t>Eur 12m + Margin</t>
  </si>
  <si>
    <t>Interests</t>
  </si>
  <si>
    <t>SWAP</t>
  </si>
  <si>
    <t>Total Interests</t>
  </si>
  <si>
    <t>Capital</t>
  </si>
  <si>
    <t>Total Debt Payment</t>
  </si>
  <si>
    <t>Senior Facility EoP</t>
  </si>
  <si>
    <t>After Debt FCC</t>
  </si>
  <si>
    <t>DSCR Restricts Payments?</t>
  </si>
  <si>
    <t>Subordinated Debt Interests</t>
  </si>
  <si>
    <t>Subordinated Debt Capital</t>
  </si>
  <si>
    <t>Total Subordinated Debt Payment</t>
  </si>
  <si>
    <t>Capital Needed</t>
  </si>
  <si>
    <t>Subordinated Debt EoP</t>
  </si>
  <si>
    <t>After Subordinated Debt FCC</t>
  </si>
  <si>
    <t>Earnings Before Taxes</t>
  </si>
  <si>
    <t>Taxes</t>
  </si>
  <si>
    <t>Corporate Tax</t>
  </si>
  <si>
    <t>Tax Credit</t>
  </si>
  <si>
    <t>Shareholders Cash Flows</t>
  </si>
  <si>
    <t>Subordinated Debt Payments</t>
  </si>
  <si>
    <t>Dividends</t>
  </si>
  <si>
    <t>Extraordinary Dividends</t>
  </si>
  <si>
    <t>Total Cash Flows to Shareholders</t>
  </si>
  <si>
    <t>ROE</t>
  </si>
  <si>
    <t>Discount Rate</t>
  </si>
  <si>
    <t>NPV at Discount Rate</t>
  </si>
  <si>
    <t>Net Project Cash Flows</t>
  </si>
  <si>
    <t>Shareholders IRR</t>
  </si>
  <si>
    <t>Project IRR</t>
  </si>
  <si>
    <t>ROI</t>
  </si>
  <si>
    <t>DSCR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</si>
</sst>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\(#,##0.0\)"/>
    <numFmt numFmtId="165" formatCode="0.0%"/>
    <numFmt numFmtId="166" formatCode="[$-409]mmm\-yy;@"/>
    <numFmt numFmtId="167" formatCode="#,##0;\(#,##0\);&quot;--&quot;"/>
    <numFmt numFmtId="168" formatCode="_-* #,##0\ _€_-;\-* #,##0\ _€_-;_-* &quot;-&quot;??\ _€_-;_-@_-"/>
    <numFmt numFmtId="169" formatCode="#,##0.0;\(#,##0.0\);&quot;--&quot;"/>
    <numFmt numFmtId="170" formatCode="#,###;\(#,###\)"/>
    <numFmt numFmtId="171" formatCode="dd/mm/yyyy;@"/>
    <numFmt numFmtId="172" formatCode="[$-C0A]mmm\-yy;@"/>
    <numFmt numFmtId="173" formatCode="0.0%;\(0.0\)%;\—\%"/>
    <numFmt numFmtId="174" formatCode="#,##0.0\x;\(#,##0.0\)\x;\—\x"/>
    <numFmt numFmtId="175" formatCode="0&quot;E&quot;"/>
    <numFmt numFmtId="176" formatCode="0&quot;A&quot;"/>
  </numFmts>
  <fonts count="30" x14ac:knownFonts="1">
    <font>
      <sz val="10"/>
      <name val="Arial"/>
    </font>
    <font>
      <sz val="10"/>
      <name val="Arial"/>
    </font>
    <font>
      <u/>
      <sz val="9"/>
      <name val="Arial"/>
      <family val="2"/>
    </font>
    <font>
      <b/>
      <sz val="9"/>
      <color rgb="FF000000"/>
      <name val="Arial"/>
    </font>
    <font>
      <sz val="9"/>
      <name val="Times New Roman"/>
    </font>
    <font>
      <sz val="9"/>
      <name val="Arial"/>
      <family val="2"/>
    </font>
    <font>
      <sz val="9"/>
      <color rgb="FF1F497D"/>
      <name val="Arial"/>
    </font>
    <font>
      <sz val="9"/>
      <color rgb="FF000000"/>
      <name val="Arial"/>
    </font>
    <font>
      <b/>
      <sz val="9"/>
      <color rgb="FF969696"/>
      <name val="Arial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sz val="9"/>
      <color rgb="FFC0C0C0"/>
      <name val="Arial"/>
    </font>
    <font>
      <b/>
      <sz val="9"/>
      <color indexed="9"/>
      <name val="Arial"/>
      <family val="2"/>
    </font>
    <font>
      <b/>
      <sz val="9"/>
      <color indexed="22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rgb="FFFFFFFF"/>
      <name val="Arial"/>
    </font>
    <font>
      <sz val="9"/>
      <color rgb="FF865357"/>
      <name val="Arial"/>
    </font>
    <font>
      <b/>
      <sz val="8"/>
      <color indexed="22"/>
      <name val="Trebuchet MS"/>
      <family val="2"/>
    </font>
    <font>
      <sz val="9"/>
      <color indexed="12"/>
      <name val="Trebuchet MS"/>
      <family val="2"/>
    </font>
    <font>
      <sz val="6"/>
      <color indexed="10"/>
      <name val="Trebuchet MS"/>
      <family val="2"/>
    </font>
    <font>
      <sz val="8"/>
      <color indexed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i/>
      <sz val="6"/>
      <name val="Trebuchet MS"/>
      <family val="2"/>
    </font>
    <font>
      <sz val="11"/>
      <color theme="1"/>
      <name val="Calibri"/>
      <family val="2"/>
      <scheme val="minor"/>
    </font>
    <font>
      <b/>
      <sz val="9"/>
      <color indexed="9"/>
      <name val="Trebuchet MS"/>
      <family val="2"/>
    </font>
    <font>
      <sz val="10"/>
      <name val="Trebuchet MS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3AAF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indexed="26"/>
      </left>
      <right style="dashed">
        <color indexed="26"/>
      </right>
      <top style="dashed">
        <color indexed="26"/>
      </top>
      <bottom style="dashed">
        <color indexed="26"/>
      </bottom>
      <diagonal/>
    </border>
    <border>
      <left/>
      <right/>
      <top/>
      <bottom style="thin">
        <color indexed="23"/>
      </bottom>
      <diagonal/>
    </border>
  </borders>
  <cellStyleXfs count="54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70" fontId="18" fillId="0" borderId="0"/>
    <xf numFmtId="164" fontId="19" fillId="7" borderId="0" applyNumberFormat="0"/>
    <xf numFmtId="164" fontId="20" fillId="0" borderId="0" applyNumberFormat="0" applyBorder="0" applyAlignment="0" applyProtection="0"/>
    <xf numFmtId="1" fontId="21" fillId="8" borderId="13"/>
    <xf numFmtId="43" fontId="1" fillId="0" borderId="0" applyFont="0" applyFill="0" applyBorder="0" applyAlignment="0" applyProtection="0"/>
    <xf numFmtId="171" fontId="22" fillId="0" borderId="0" applyFill="0" applyBorder="0"/>
    <xf numFmtId="172" fontId="22" fillId="0" borderId="0" applyFill="0" applyBorder="0"/>
    <xf numFmtId="44" fontId="1" fillId="0" borderId="0" applyFont="0" applyFill="0" applyBorder="0" applyAlignment="0" applyProtection="0"/>
    <xf numFmtId="164" fontId="19" fillId="0" borderId="0" applyBorder="0"/>
    <xf numFmtId="164" fontId="23" fillId="9" borderId="11" applyAlignment="0"/>
    <xf numFmtId="173" fontId="24" fillId="0" borderId="0" applyFill="0" applyBorder="0"/>
    <xf numFmtId="43" fontId="1" fillId="0" borderId="0" applyFont="0" applyFill="0" applyBorder="0" applyAlignment="0" applyProtection="0"/>
    <xf numFmtId="174" fontId="22" fillId="0" borderId="0" applyFill="0" applyBorder="0" applyAlignment="0"/>
    <xf numFmtId="0" fontId="1" fillId="0" borderId="0"/>
    <xf numFmtId="0" fontId="25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2" fillId="10" borderId="14" applyNumberFormat="0"/>
    <xf numFmtId="0" fontId="26" fillId="11" borderId="0">
      <alignment horizontal="left"/>
    </xf>
    <xf numFmtId="1" fontId="22" fillId="0" borderId="0" applyFill="0" applyBorder="0" applyAlignment="0" applyProtection="0"/>
    <xf numFmtId="175" fontId="27" fillId="0" borderId="0" applyFont="0" applyFill="0" applyBorder="0" applyAlignment="0"/>
    <xf numFmtId="176" fontId="27" fillId="0" borderId="0" applyFont="0" applyFill="0" applyBorder="0" applyAlignment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</cellStyleXfs>
  <cellXfs count="97">
    <xf numFmtId="164" fontId="0" fillId="0" borderId="0" xfId="0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/>
    <xf numFmtId="0" fontId="5" fillId="0" borderId="0" xfId="0" applyNumberFormat="1" applyFont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justify" vertical="center"/>
    </xf>
    <xf numFmtId="0" fontId="5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right" vertical="center" indent="1"/>
    </xf>
    <xf numFmtId="3" fontId="9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indent="1"/>
    </xf>
    <xf numFmtId="10" fontId="6" fillId="2" borderId="8" xfId="0" applyNumberFormat="1" applyFont="1" applyFill="1" applyBorder="1" applyAlignment="1">
      <alignment horizontal="center" vertical="center"/>
    </xf>
    <xf numFmtId="0" fontId="12" fillId="4" borderId="9" xfId="3" applyNumberFormat="1" applyFont="1" applyFill="1" applyBorder="1" applyAlignment="1">
      <alignment vertical="center"/>
    </xf>
    <xf numFmtId="166" fontId="12" fillId="4" borderId="9" xfId="3" applyNumberFormat="1" applyFont="1" applyFill="1" applyBorder="1" applyAlignment="1">
      <alignment horizontal="center" vertical="center"/>
    </xf>
    <xf numFmtId="0" fontId="5" fillId="0" borderId="0" xfId="3" applyNumberFormat="1" applyFont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9" fillId="5" borderId="10" xfId="3" applyNumberFormat="1" applyFont="1" applyFill="1" applyBorder="1" applyAlignment="1">
      <alignment vertical="center"/>
    </xf>
    <xf numFmtId="0" fontId="5" fillId="5" borderId="11" xfId="3" applyNumberFormat="1" applyFont="1" applyFill="1" applyBorder="1" applyAlignment="1">
      <alignment vertical="center"/>
    </xf>
    <xf numFmtId="0" fontId="5" fillId="5" borderId="11" xfId="3" applyNumberFormat="1" applyFont="1" applyFill="1" applyBorder="1" applyAlignment="1">
      <alignment horizontal="center" vertical="center"/>
    </xf>
    <xf numFmtId="167" fontId="9" fillId="5" borderId="11" xfId="3" applyNumberFormat="1" applyFont="1" applyFill="1" applyBorder="1" applyAlignment="1">
      <alignment horizontal="center" vertical="center"/>
    </xf>
    <xf numFmtId="0" fontId="9" fillId="0" borderId="0" xfId="3" applyNumberFormat="1" applyFont="1" applyAlignment="1">
      <alignment vertical="center"/>
    </xf>
    <xf numFmtId="0" fontId="13" fillId="0" borderId="0" xfId="3" applyNumberFormat="1" applyFont="1" applyAlignment="1">
      <alignment horizontal="center" vertical="center"/>
    </xf>
    <xf numFmtId="167" fontId="9" fillId="0" borderId="0" xfId="3" applyNumberFormat="1" applyFont="1" applyAlignment="1">
      <alignment horizontal="center" vertical="center"/>
    </xf>
    <xf numFmtId="0" fontId="9" fillId="0" borderId="9" xfId="3" applyNumberFormat="1" applyFont="1" applyBorder="1" applyAlignment="1">
      <alignment horizontal="left" vertical="center"/>
    </xf>
    <xf numFmtId="0" fontId="9" fillId="0" borderId="9" xfId="3" applyNumberFormat="1" applyFont="1" applyBorder="1" applyAlignment="1">
      <alignment vertical="center"/>
    </xf>
    <xf numFmtId="167" fontId="9" fillId="0" borderId="9" xfId="3" applyNumberFormat="1" applyFont="1" applyBorder="1" applyAlignment="1">
      <alignment horizontal="center" vertical="center"/>
    </xf>
    <xf numFmtId="0" fontId="5" fillId="0" borderId="0" xfId="3" applyNumberFormat="1" applyFont="1" applyAlignment="1">
      <alignment horizontal="left" vertical="center" indent="1"/>
    </xf>
    <xf numFmtId="167" fontId="5" fillId="0" borderId="0" xfId="3" applyNumberFormat="1" applyFont="1" applyAlignment="1">
      <alignment horizontal="center" vertical="center"/>
    </xf>
    <xf numFmtId="0" fontId="14" fillId="0" borderId="0" xfId="3" applyNumberFormat="1" applyFont="1" applyAlignment="1">
      <alignment vertical="center"/>
    </xf>
    <xf numFmtId="167" fontId="14" fillId="0" borderId="0" xfId="3" applyNumberFormat="1" applyFont="1" applyAlignment="1">
      <alignment horizontal="center" vertical="center"/>
    </xf>
    <xf numFmtId="0" fontId="15" fillId="0" borderId="0" xfId="3" applyNumberFormat="1" applyFont="1" applyAlignment="1">
      <alignment vertical="center"/>
    </xf>
    <xf numFmtId="9" fontId="15" fillId="0" borderId="0" xfId="2" applyFont="1" applyAlignment="1">
      <alignment horizontal="center" vertical="center"/>
    </xf>
    <xf numFmtId="0" fontId="16" fillId="6" borderId="1" xfId="0" applyNumberFormat="1" applyFont="1" applyFill="1" applyBorder="1" applyAlignment="1">
      <alignment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68" fontId="9" fillId="0" borderId="0" xfId="0" applyNumberFormat="1" applyFont="1" applyAlignment="1">
      <alignment horizontal="center" vertical="center"/>
    </xf>
    <xf numFmtId="169" fontId="5" fillId="0" borderId="0" xfId="3" applyNumberFormat="1" applyFont="1" applyAlignment="1">
      <alignment horizontal="center" vertical="center"/>
    </xf>
    <xf numFmtId="0" fontId="9" fillId="0" borderId="12" xfId="3" applyNumberFormat="1" applyFont="1" applyBorder="1" applyAlignment="1">
      <alignment horizontal="left" vertical="center"/>
    </xf>
    <xf numFmtId="0" fontId="9" fillId="0" borderId="12" xfId="3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9" fillId="0" borderId="0" xfId="0" applyNumberFormat="1" applyFont="1"/>
    <xf numFmtId="167" fontId="9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Alignment="1">
      <alignment horizontal="left" vertical="center"/>
    </xf>
    <xf numFmtId="167" fontId="9" fillId="0" borderId="12" xfId="3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/>
    </xf>
    <xf numFmtId="10" fontId="9" fillId="0" borderId="0" xfId="2" applyNumberFormat="1" applyFont="1"/>
    <xf numFmtId="9" fontId="9" fillId="0" borderId="0" xfId="0" applyNumberFormat="1" applyFont="1"/>
    <xf numFmtId="167" fontId="5" fillId="0" borderId="12" xfId="3" applyNumberFormat="1" applyFont="1" applyBorder="1" applyAlignment="1">
      <alignment horizontal="center" vertical="center"/>
    </xf>
    <xf numFmtId="10" fontId="9" fillId="0" borderId="0" xfId="0" applyNumberFormat="1" applyFont="1"/>
    <xf numFmtId="167" fontId="5" fillId="0" borderId="0" xfId="0" applyNumberFormat="1" applyFont="1"/>
    <xf numFmtId="0" fontId="5" fillId="0" borderId="6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</cellXfs>
  <cellStyles count="54">
    <cellStyle name="%" xfId="3"/>
    <cellStyle name="% 2" xfId="4"/>
    <cellStyle name="apoyo" xfId="5"/>
    <cellStyle name="assumption" xfId="6"/>
    <cellStyle name="Check" xfId="7"/>
    <cellStyle name="Choose Number" xfId="8"/>
    <cellStyle name="Comma 2" xfId="9"/>
    <cellStyle name="Date long" xfId="10"/>
    <cellStyle name="Date short" xfId="11"/>
    <cellStyle name="Euro" xfId="12"/>
    <cellStyle name="Hardcoded Number" xfId="13"/>
    <cellStyle name="Highlight" xfId="14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Margins" xfId="15"/>
    <cellStyle name="Millares" xfId="1" builtinId="3"/>
    <cellStyle name="Millares 2" xfId="16"/>
    <cellStyle name="Multiple" xfId="17"/>
    <cellStyle name="Normal" xfId="0" builtinId="0"/>
    <cellStyle name="Normal 2" xfId="18"/>
    <cellStyle name="Normal 3" xfId="19"/>
    <cellStyle name="Normal 4" xfId="20"/>
    <cellStyle name="Percent 2" xfId="21"/>
    <cellStyle name="Porcentaje" xfId="2" builtinId="5"/>
    <cellStyle name="Porcentaje 2" xfId="22"/>
    <cellStyle name="Porcentaje 3" xfId="23"/>
    <cellStyle name="Porcentaje 3 2" xfId="24"/>
    <cellStyle name="Subtitle" xfId="25"/>
    <cellStyle name="Title" xfId="26"/>
    <cellStyle name="Year" xfId="27"/>
    <cellStyle name="Year Estimates" xfId="28"/>
    <cellStyle name="Year Historicals" xfId="2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4</xdr:row>
      <xdr:rowOff>28575</xdr:rowOff>
    </xdr:from>
    <xdr:to>
      <xdr:col>11</xdr:col>
      <xdr:colOff>97507</xdr:colOff>
      <xdr:row>7</xdr:row>
      <xdr:rowOff>128389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92" t="39920" r="50177" b="52214"/>
        <a:stretch/>
      </xdr:blipFill>
      <xdr:spPr>
        <a:xfrm>
          <a:off x="7524750" y="666750"/>
          <a:ext cx="2088232" cy="576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/DOCUME~1/E022368/LOCALS~1/Temp/Directorio%20temporal%201%20para%20Pipeline%20-%20Originales%20Proyecto%20ITAKA.zip/Originales%20Proyecto%20ITAKA/A.%2020121017%20FCC%20Mexico%20Wind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/Documents%20and%20Settings/jgutierrezb/Local%20Settings/Temporary%20Internet%20Files/Content.Outlook/2N4RP18M/38%20Pipeline_rider%20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sh Valuation"/>
      <sheetName val="2. P&amp;L-P90"/>
      <sheetName val="2. P&amp;L-P50"/>
      <sheetName val="3. Balance Sheet P-90"/>
      <sheetName val="P50"/>
      <sheetName val="P75"/>
      <sheetName val="P90"/>
      <sheetName val="O&amp;M"/>
      <sheetName val="3. Balance Sheet P-50"/>
      <sheetName val="Precios Medios CFE"/>
    </sheetNames>
    <sheetDataSet>
      <sheetData sheetId="0">
        <row r="33">
          <cell r="K33">
            <v>0.28999999999999998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sheet"/>
      <sheetName val="Disclaimer"/>
      <sheetName val="Assets summary"/>
      <sheetName val="Control"/>
      <sheetName val="Consolidated_Operating_Assets"/>
      <sheetName val="Wind Olivento"/>
      <sheetName val="CSP Enerstar"/>
      <sheetName val="CSP Guzman"/>
      <sheetName val="PV Helios"/>
      <sheetName val="WACC"/>
      <sheetName val="Pipeline"/>
      <sheetName val="Control_Pipeline"/>
      <sheetName val="Mexico --&gt;"/>
      <sheetName val="Backup --&gt;"/>
      <sheetName val="BS Oct 2012"/>
      <sheetName val="Wind Olivento_"/>
      <sheetName val="CSP Guzman_"/>
      <sheetName val="CSP Enerstar_"/>
      <sheetName val="PV Helios_"/>
      <sheetName val="1. Cash Valuation"/>
      <sheetName val="P&amp;L P90"/>
      <sheetName val="P&amp;L P50"/>
      <sheetName val="BS P50"/>
      <sheetName val="Precios medios CFE"/>
      <sheetName val="Sweden --&gt;"/>
      <sheetName val="2. Cash Valuation"/>
      <sheetName val="P&amp;L - Permitted"/>
      <sheetName val="BS - Permitted"/>
      <sheetName val="Chile CSP--&gt;"/>
      <sheetName val="Cash Valuation"/>
      <sheetName val="BS"/>
      <sheetName val="P&amp;L"/>
      <sheetName val="Chile PV--&gt;"/>
      <sheetName val="Cash Valuation PV"/>
      <sheetName val="P&amp;L P90 PV"/>
      <sheetName val="P&amp;L P50 PV"/>
      <sheetName val="BS P50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8">
          <cell r="C68">
            <v>0</v>
          </cell>
        </row>
        <row r="69">
          <cell r="C69">
            <v>0.1</v>
          </cell>
        </row>
        <row r="70">
          <cell r="C70">
            <v>0.1</v>
          </cell>
        </row>
        <row r="72">
          <cell r="O72">
            <v>5.0000000000000001E-4</v>
          </cell>
        </row>
        <row r="73">
          <cell r="O73">
            <v>1.4999999999999999E-2</v>
          </cell>
        </row>
        <row r="74">
          <cell r="G74">
            <v>150</v>
          </cell>
        </row>
        <row r="77">
          <cell r="O77">
            <v>1.4999999999999999E-2</v>
          </cell>
        </row>
        <row r="83">
          <cell r="N83">
            <v>0.1</v>
          </cell>
        </row>
        <row r="140">
          <cell r="C140">
            <v>0.12131362489759769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showGridLines="0" tabSelected="1" workbookViewId="0">
      <selection activeCell="G3" sqref="G3"/>
    </sheetView>
  </sheetViews>
  <sheetFormatPr baseColWidth="10" defaultColWidth="10.85546875" defaultRowHeight="12" x14ac:dyDescent="0.2"/>
  <cols>
    <col min="1" max="1" width="31.7109375" style="3" bestFit="1" customWidth="1"/>
    <col min="2" max="2" width="11.28515625" style="3" bestFit="1" customWidth="1"/>
    <col min="3" max="4" width="10.85546875" style="3"/>
    <col min="5" max="5" width="12.28515625" style="3" bestFit="1" customWidth="1"/>
    <col min="6" max="6" width="10.85546875" style="3"/>
    <col min="7" max="7" width="11.42578125" style="3" customWidth="1"/>
    <col min="8" max="8" width="10.85546875" style="3"/>
    <col min="9" max="9" width="10.85546875" style="3" customWidth="1"/>
    <col min="10" max="16384" width="10.85546875" style="3"/>
  </cols>
  <sheetData>
    <row r="1" spans="1:10" x14ac:dyDescent="0.2">
      <c r="A1" s="1" t="s">
        <v>0</v>
      </c>
      <c r="B1" s="91" t="s">
        <v>1</v>
      </c>
      <c r="C1" s="93" t="s">
        <v>2</v>
      </c>
      <c r="D1" s="91" t="s">
        <v>3</v>
      </c>
      <c r="E1" s="91" t="s">
        <v>4</v>
      </c>
      <c r="F1" s="2"/>
    </row>
    <row r="2" spans="1:10" ht="12.75" thickBot="1" x14ac:dyDescent="0.25">
      <c r="A2" s="1"/>
      <c r="B2" s="92"/>
      <c r="C2" s="94"/>
      <c r="D2" s="91"/>
      <c r="E2" s="91"/>
      <c r="F2" s="2"/>
    </row>
    <row r="3" spans="1:10" ht="12.75" thickBot="1" x14ac:dyDescent="0.25">
      <c r="A3" s="4" t="s">
        <v>5</v>
      </c>
      <c r="B3" s="5">
        <v>23</v>
      </c>
      <c r="C3" s="6">
        <v>0.66</v>
      </c>
      <c r="D3" s="7">
        <v>1770</v>
      </c>
      <c r="E3" s="8">
        <v>15</v>
      </c>
    </row>
    <row r="4" spans="1:10" ht="12.75" thickBot="1" x14ac:dyDescent="0.25">
      <c r="A4" s="9"/>
    </row>
    <row r="5" spans="1:10" ht="12.75" thickBot="1" x14ac:dyDescent="0.25">
      <c r="A5" s="10" t="s">
        <v>6</v>
      </c>
      <c r="B5" s="11" t="s">
        <v>7</v>
      </c>
      <c r="C5" s="12">
        <v>26550</v>
      </c>
    </row>
    <row r="6" spans="1:10" x14ac:dyDescent="0.2">
      <c r="A6" s="9"/>
    </row>
    <row r="7" spans="1:10" ht="12.75" thickBot="1" x14ac:dyDescent="0.25">
      <c r="A7" s="1" t="s">
        <v>8</v>
      </c>
      <c r="B7" s="13"/>
      <c r="C7" s="13"/>
      <c r="D7" s="14" t="s">
        <v>9</v>
      </c>
    </row>
    <row r="8" spans="1:10" ht="12.75" thickBot="1" x14ac:dyDescent="0.25">
      <c r="A8" s="4" t="s">
        <v>5</v>
      </c>
      <c r="B8" s="15" t="s">
        <v>7</v>
      </c>
      <c r="C8" s="13"/>
      <c r="D8" s="16">
        <v>26869</v>
      </c>
    </row>
    <row r="9" spans="1:10" x14ac:dyDescent="0.2">
      <c r="A9" s="17" t="s">
        <v>10</v>
      </c>
      <c r="B9" s="18" t="s">
        <v>7</v>
      </c>
      <c r="C9" s="19"/>
      <c r="D9" s="20">
        <v>26869</v>
      </c>
    </row>
    <row r="10" spans="1:10" x14ac:dyDescent="0.2">
      <c r="A10" s="21" t="s">
        <v>11</v>
      </c>
      <c r="B10" s="15" t="s">
        <v>12</v>
      </c>
      <c r="C10" s="13"/>
      <c r="D10" s="16">
        <f>D8/E3</f>
        <v>1791.2666666666667</v>
      </c>
    </row>
    <row r="11" spans="1:10" ht="12.75" thickBot="1" x14ac:dyDescent="0.25">
      <c r="A11" s="21" t="s">
        <v>13</v>
      </c>
      <c r="B11" s="13"/>
      <c r="C11" s="13"/>
      <c r="D11" s="22">
        <f>D9/(E3*24*365)</f>
        <v>0.20448249619482498</v>
      </c>
      <c r="G11" s="13"/>
      <c r="H11" s="13"/>
      <c r="I11" s="13"/>
      <c r="J11" s="14" t="s">
        <v>9</v>
      </c>
    </row>
    <row r="12" spans="1:10" ht="12.75" thickBot="1" x14ac:dyDescent="0.25">
      <c r="G12" s="4" t="s">
        <v>14</v>
      </c>
      <c r="H12" s="13"/>
      <c r="I12" s="13"/>
      <c r="J12" s="23">
        <v>0.02</v>
      </c>
    </row>
    <row r="13" spans="1:10" ht="12.75" thickBot="1" x14ac:dyDescent="0.25">
      <c r="A13" s="24" t="s">
        <v>15</v>
      </c>
      <c r="B13" s="25" t="s">
        <v>16</v>
      </c>
      <c r="C13" s="13"/>
      <c r="D13" s="14" t="s">
        <v>9</v>
      </c>
      <c r="G13" s="4" t="s">
        <v>17</v>
      </c>
      <c r="H13" s="26" t="s">
        <v>18</v>
      </c>
      <c r="I13" s="13"/>
      <c r="J13" s="27">
        <v>0.01</v>
      </c>
    </row>
    <row r="14" spans="1:10" ht="12.75" thickBot="1" x14ac:dyDescent="0.25">
      <c r="A14" s="21" t="s">
        <v>19</v>
      </c>
      <c r="B14" s="15" t="s">
        <v>20</v>
      </c>
      <c r="C14" s="13"/>
      <c r="D14" s="28">
        <v>85.6</v>
      </c>
      <c r="G14" s="29" t="s">
        <v>21</v>
      </c>
      <c r="H14" s="26" t="s">
        <v>18</v>
      </c>
      <c r="I14" s="13"/>
      <c r="J14" s="30">
        <v>5.0000000000000001E-3</v>
      </c>
    </row>
    <row r="15" spans="1:10" x14ac:dyDescent="0.2">
      <c r="A15" s="21" t="s">
        <v>22</v>
      </c>
      <c r="B15" s="15" t="s">
        <v>20</v>
      </c>
      <c r="C15" s="13"/>
      <c r="D15" s="28">
        <v>70.150000000000006</v>
      </c>
    </row>
    <row r="17" spans="1:24" x14ac:dyDescent="0.2">
      <c r="E17" s="81">
        <v>1</v>
      </c>
      <c r="F17" s="81">
        <v>2</v>
      </c>
      <c r="G17" s="81">
        <v>3</v>
      </c>
      <c r="H17" s="81">
        <v>4</v>
      </c>
      <c r="I17" s="81">
        <v>5</v>
      </c>
      <c r="J17" s="81">
        <v>6</v>
      </c>
      <c r="K17" s="81">
        <v>7</v>
      </c>
      <c r="L17" s="81">
        <v>8</v>
      </c>
      <c r="M17" s="81">
        <v>9</v>
      </c>
      <c r="N17" s="81">
        <v>10</v>
      </c>
      <c r="O17" s="81">
        <v>11</v>
      </c>
      <c r="P17" s="81">
        <v>12</v>
      </c>
      <c r="Q17" s="81">
        <v>13</v>
      </c>
      <c r="R17" s="81">
        <v>14</v>
      </c>
      <c r="S17" s="81">
        <v>15</v>
      </c>
      <c r="T17" s="81">
        <v>16</v>
      </c>
      <c r="U17" s="81">
        <v>17</v>
      </c>
      <c r="V17" s="81">
        <v>18</v>
      </c>
      <c r="W17" s="81">
        <v>19</v>
      </c>
      <c r="X17" s="81">
        <v>20</v>
      </c>
    </row>
    <row r="18" spans="1:24" x14ac:dyDescent="0.2">
      <c r="A18" s="31" t="s">
        <v>23</v>
      </c>
      <c r="B18" s="31"/>
      <c r="C18" s="31"/>
      <c r="D18" s="31"/>
      <c r="E18" s="32">
        <v>41639</v>
      </c>
      <c r="F18" s="32">
        <v>42004</v>
      </c>
      <c r="G18" s="32">
        <v>42369</v>
      </c>
      <c r="H18" s="32">
        <v>42735</v>
      </c>
      <c r="I18" s="32">
        <v>43100</v>
      </c>
      <c r="J18" s="32">
        <v>43465</v>
      </c>
      <c r="K18" s="32">
        <v>43830</v>
      </c>
      <c r="L18" s="32">
        <v>44196</v>
      </c>
      <c r="M18" s="32">
        <v>44561</v>
      </c>
      <c r="N18" s="32">
        <v>44926</v>
      </c>
      <c r="O18" s="32">
        <v>45291</v>
      </c>
      <c r="P18" s="32">
        <v>45657</v>
      </c>
      <c r="Q18" s="32">
        <v>46022</v>
      </c>
      <c r="R18" s="32">
        <v>46387</v>
      </c>
      <c r="S18" s="32">
        <v>46752</v>
      </c>
      <c r="T18" s="32">
        <v>47118</v>
      </c>
      <c r="U18" s="32">
        <v>47483</v>
      </c>
      <c r="V18" s="32">
        <v>47848</v>
      </c>
      <c r="W18" s="32">
        <v>48213</v>
      </c>
      <c r="X18" s="32">
        <v>48579</v>
      </c>
    </row>
    <row r="19" spans="1:24" x14ac:dyDescent="0.2">
      <c r="A19" s="33"/>
      <c r="B19" s="34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x14ac:dyDescent="0.2">
      <c r="A20" s="36" t="s">
        <v>24</v>
      </c>
      <c r="B20" s="37"/>
      <c r="C20" s="37"/>
      <c r="D20" s="38"/>
      <c r="E20" s="39">
        <f>D9*D14</f>
        <v>2299986.4</v>
      </c>
      <c r="F20" s="39">
        <f>E20*(1+($J$13-$J$14))</f>
        <v>2311486.3319999995</v>
      </c>
      <c r="G20" s="39">
        <f t="shared" ref="G20:X20" si="0">F20*(1+($J$13-$J$14))</f>
        <v>2323043.7636599992</v>
      </c>
      <c r="H20" s="39">
        <f t="shared" si="0"/>
        <v>2334658.9824782992</v>
      </c>
      <c r="I20" s="39">
        <f t="shared" si="0"/>
        <v>2346332.2773906905</v>
      </c>
      <c r="J20" s="39">
        <f t="shared" si="0"/>
        <v>2358063.9387776437</v>
      </c>
      <c r="K20" s="39">
        <f t="shared" si="0"/>
        <v>2369854.2584715318</v>
      </c>
      <c r="L20" s="39">
        <f t="shared" si="0"/>
        <v>2381703.529763889</v>
      </c>
      <c r="M20" s="39">
        <f t="shared" si="0"/>
        <v>2393612.0474127084</v>
      </c>
      <c r="N20" s="39">
        <f t="shared" si="0"/>
        <v>2405580.1076497715</v>
      </c>
      <c r="O20" s="39">
        <f t="shared" si="0"/>
        <v>2417608.00818802</v>
      </c>
      <c r="P20" s="39">
        <f t="shared" si="0"/>
        <v>2429696.04822896</v>
      </c>
      <c r="Q20" s="39">
        <f t="shared" si="0"/>
        <v>2441844.5284701046</v>
      </c>
      <c r="R20" s="39">
        <f t="shared" si="0"/>
        <v>2454053.751112455</v>
      </c>
      <c r="S20" s="39">
        <f t="shared" si="0"/>
        <v>2466324.0198680172</v>
      </c>
      <c r="T20" s="39">
        <f t="shared" si="0"/>
        <v>2478655.6399673568</v>
      </c>
      <c r="U20" s="39">
        <f t="shared" si="0"/>
        <v>2491048.9181671934</v>
      </c>
      <c r="V20" s="39">
        <f t="shared" si="0"/>
        <v>2503504.1627580291</v>
      </c>
      <c r="W20" s="39">
        <f t="shared" si="0"/>
        <v>2516021.6835718188</v>
      </c>
      <c r="X20" s="39">
        <f t="shared" si="0"/>
        <v>2528601.7919896776</v>
      </c>
    </row>
    <row r="21" spans="1:24" x14ac:dyDescent="0.2">
      <c r="A21" s="40" t="s">
        <v>25</v>
      </c>
      <c r="B21" s="34"/>
      <c r="C21" s="34"/>
      <c r="D21" s="41" t="s">
        <v>26</v>
      </c>
      <c r="E21" s="42">
        <f t="shared" ref="E21:X21" si="1">+E22+E30</f>
        <v>-751967.30799999996</v>
      </c>
      <c r="F21" s="42">
        <f t="shared" si="1"/>
        <v>-764322.97843999998</v>
      </c>
      <c r="G21" s="42">
        <f t="shared" si="1"/>
        <v>-776913.68736019987</v>
      </c>
      <c r="H21" s="42">
        <f t="shared" si="1"/>
        <v>-789744.07515556086</v>
      </c>
      <c r="I21" s="42">
        <f t="shared" si="1"/>
        <v>-802818.87472706987</v>
      </c>
      <c r="J21" s="42">
        <f t="shared" si="1"/>
        <v>-816142.913330351</v>
      </c>
      <c r="K21" s="42">
        <f t="shared" si="1"/>
        <v>-829721.11446124164</v>
      </c>
      <c r="L21" s="42">
        <f t="shared" si="1"/>
        <v>-843558.49977907131</v>
      </c>
      <c r="M21" s="42">
        <f t="shared" si="1"/>
        <v>-857660.19106840063</v>
      </c>
      <c r="N21" s="42">
        <f t="shared" si="1"/>
        <v>-872031.41223998519</v>
      </c>
      <c r="O21" s="42">
        <f t="shared" si="1"/>
        <v>-886677.49137175269</v>
      </c>
      <c r="P21" s="42">
        <f t="shared" si="1"/>
        <v>-901603.86279059038</v>
      </c>
      <c r="Q21" s="42">
        <f t="shared" si="1"/>
        <v>-916816.06919576169</v>
      </c>
      <c r="R21" s="42">
        <f t="shared" si="1"/>
        <v>-932319.76382478327</v>
      </c>
      <c r="S21" s="42">
        <f t="shared" si="1"/>
        <v>-948120.71266261092</v>
      </c>
      <c r="T21" s="42">
        <f t="shared" si="1"/>
        <v>-964224.79669500166</v>
      </c>
      <c r="U21" s="42">
        <f t="shared" si="1"/>
        <v>-980638.014206936</v>
      </c>
      <c r="V21" s="42">
        <f t="shared" si="1"/>
        <v>-997366.48312699911</v>
      </c>
      <c r="W21" s="42">
        <f t="shared" si="1"/>
        <v>-1014416.4434186432</v>
      </c>
      <c r="X21" s="42">
        <f t="shared" si="1"/>
        <v>-1031794.2595192655</v>
      </c>
    </row>
    <row r="22" spans="1:24" x14ac:dyDescent="0.2">
      <c r="A22" s="43" t="s">
        <v>27</v>
      </c>
      <c r="B22" s="44"/>
      <c r="C22" s="44"/>
      <c r="D22" s="41" t="s">
        <v>26</v>
      </c>
      <c r="E22" s="45">
        <f t="shared" ref="E22:X22" si="2">+SUM(E23:E29)</f>
        <v>-321203.5</v>
      </c>
      <c r="F22" s="45">
        <f t="shared" si="2"/>
        <v>-327627.57</v>
      </c>
      <c r="G22" s="45">
        <f t="shared" si="2"/>
        <v>-334180.12139999995</v>
      </c>
      <c r="H22" s="45">
        <f t="shared" si="2"/>
        <v>-340863.72382800002</v>
      </c>
      <c r="I22" s="45">
        <f t="shared" si="2"/>
        <v>-347680.99830456002</v>
      </c>
      <c r="J22" s="45">
        <f t="shared" si="2"/>
        <v>-354634.6182706512</v>
      </c>
      <c r="K22" s="45">
        <f t="shared" si="2"/>
        <v>-361727.31063606433</v>
      </c>
      <c r="L22" s="45">
        <f t="shared" si="2"/>
        <v>-368961.8568487856</v>
      </c>
      <c r="M22" s="45">
        <f t="shared" si="2"/>
        <v>-376341.09398576128</v>
      </c>
      <c r="N22" s="45">
        <f t="shared" si="2"/>
        <v>-383867.91586547648</v>
      </c>
      <c r="O22" s="45">
        <f t="shared" si="2"/>
        <v>-391545.27418278612</v>
      </c>
      <c r="P22" s="45">
        <f t="shared" si="2"/>
        <v>-399376.17966644187</v>
      </c>
      <c r="Q22" s="45">
        <f t="shared" si="2"/>
        <v>-407363.70325977064</v>
      </c>
      <c r="R22" s="45">
        <f t="shared" si="2"/>
        <v>-415510.97732496605</v>
      </c>
      <c r="S22" s="45">
        <f t="shared" si="2"/>
        <v>-423821.19687146542</v>
      </c>
      <c r="T22" s="45">
        <f t="shared" si="2"/>
        <v>-432297.6208088948</v>
      </c>
      <c r="U22" s="45">
        <f t="shared" si="2"/>
        <v>-440943.5732250727</v>
      </c>
      <c r="V22" s="45">
        <f t="shared" si="2"/>
        <v>-449762.44468957407</v>
      </c>
      <c r="W22" s="45">
        <f t="shared" si="2"/>
        <v>-458757.69358336559</v>
      </c>
      <c r="X22" s="45">
        <f t="shared" si="2"/>
        <v>-467932.84745503293</v>
      </c>
    </row>
    <row r="23" spans="1:24" x14ac:dyDescent="0.2">
      <c r="A23" s="46" t="s">
        <v>28</v>
      </c>
      <c r="B23" s="34"/>
      <c r="C23" s="34"/>
      <c r="D23" s="41" t="s">
        <v>26</v>
      </c>
      <c r="E23" s="47">
        <v>-55000</v>
      </c>
      <c r="F23" s="47">
        <f>E23*(1+$J$12)</f>
        <v>-56100</v>
      </c>
      <c r="G23" s="47">
        <f t="shared" ref="G23:X23" si="3">F23*(1+$J$12)</f>
        <v>-57222</v>
      </c>
      <c r="H23" s="47">
        <f t="shared" si="3"/>
        <v>-58366.44</v>
      </c>
      <c r="I23" s="47">
        <f t="shared" si="3"/>
        <v>-59533.768800000005</v>
      </c>
      <c r="J23" s="47">
        <f t="shared" si="3"/>
        <v>-60724.444176000005</v>
      </c>
      <c r="K23" s="47">
        <f t="shared" si="3"/>
        <v>-61938.933059520008</v>
      </c>
      <c r="L23" s="47">
        <f t="shared" si="3"/>
        <v>-63177.711720710409</v>
      </c>
      <c r="M23" s="47">
        <f t="shared" si="3"/>
        <v>-64441.265955124618</v>
      </c>
      <c r="N23" s="47">
        <f t="shared" si="3"/>
        <v>-65730.091274227118</v>
      </c>
      <c r="O23" s="47">
        <f t="shared" si="3"/>
        <v>-67044.693099711658</v>
      </c>
      <c r="P23" s="47">
        <f t="shared" si="3"/>
        <v>-68385.586961705892</v>
      </c>
      <c r="Q23" s="47">
        <f t="shared" si="3"/>
        <v>-69753.298700940009</v>
      </c>
      <c r="R23" s="47">
        <f t="shared" si="3"/>
        <v>-71148.364674958808</v>
      </c>
      <c r="S23" s="47">
        <f t="shared" si="3"/>
        <v>-72571.331968457991</v>
      </c>
      <c r="T23" s="47">
        <f t="shared" si="3"/>
        <v>-74022.758607827156</v>
      </c>
      <c r="U23" s="47">
        <f t="shared" si="3"/>
        <v>-75503.213779983707</v>
      </c>
      <c r="V23" s="47">
        <f t="shared" si="3"/>
        <v>-77013.278055583389</v>
      </c>
      <c r="W23" s="47">
        <f t="shared" si="3"/>
        <v>-78553.543616695053</v>
      </c>
      <c r="X23" s="47">
        <f t="shared" si="3"/>
        <v>-80124.614489028958</v>
      </c>
    </row>
    <row r="24" spans="1:24" x14ac:dyDescent="0.2">
      <c r="A24" s="46" t="s">
        <v>29</v>
      </c>
      <c r="B24" s="34"/>
      <c r="C24" s="34"/>
      <c r="D24" s="41" t="s">
        <v>26</v>
      </c>
      <c r="E24" s="47">
        <v>-97000</v>
      </c>
      <c r="F24" s="47">
        <f t="shared" ref="F24:X31" si="4">E24*(1+$J$12)</f>
        <v>-98940</v>
      </c>
      <c r="G24" s="47">
        <f t="shared" si="4"/>
        <v>-100918.8</v>
      </c>
      <c r="H24" s="47">
        <f t="shared" si="4"/>
        <v>-102937.17600000001</v>
      </c>
      <c r="I24" s="47">
        <f t="shared" si="4"/>
        <v>-104995.91952000001</v>
      </c>
      <c r="J24" s="47">
        <f t="shared" si="4"/>
        <v>-107095.83791040002</v>
      </c>
      <c r="K24" s="47">
        <f t="shared" si="4"/>
        <v>-109237.75466860802</v>
      </c>
      <c r="L24" s="47">
        <f t="shared" si="4"/>
        <v>-111422.50976198018</v>
      </c>
      <c r="M24" s="47">
        <f t="shared" si="4"/>
        <v>-113650.95995721979</v>
      </c>
      <c r="N24" s="47">
        <f t="shared" si="4"/>
        <v>-115923.97915636419</v>
      </c>
      <c r="O24" s="47">
        <f t="shared" si="4"/>
        <v>-118242.45873949149</v>
      </c>
      <c r="P24" s="47">
        <f t="shared" si="4"/>
        <v>-120607.30791428132</v>
      </c>
      <c r="Q24" s="47">
        <f t="shared" si="4"/>
        <v>-123019.45407256695</v>
      </c>
      <c r="R24" s="47">
        <f t="shared" si="4"/>
        <v>-125479.84315401829</v>
      </c>
      <c r="S24" s="47">
        <f t="shared" si="4"/>
        <v>-127989.44001709866</v>
      </c>
      <c r="T24" s="47">
        <f t="shared" si="4"/>
        <v>-130549.22881744064</v>
      </c>
      <c r="U24" s="47">
        <f t="shared" si="4"/>
        <v>-133160.21339378945</v>
      </c>
      <c r="V24" s="47">
        <f t="shared" si="4"/>
        <v>-135823.41766166524</v>
      </c>
      <c r="W24" s="47">
        <f t="shared" si="4"/>
        <v>-138539.88601489854</v>
      </c>
      <c r="X24" s="47">
        <f t="shared" si="4"/>
        <v>-141310.68373519651</v>
      </c>
    </row>
    <row r="25" spans="1:24" x14ac:dyDescent="0.2">
      <c r="A25" s="46" t="s">
        <v>30</v>
      </c>
      <c r="B25" s="34"/>
      <c r="C25" s="34"/>
      <c r="D25" s="41" t="s">
        <v>26</v>
      </c>
      <c r="E25" s="47">
        <v>-44000</v>
      </c>
      <c r="F25" s="47">
        <f t="shared" si="4"/>
        <v>-44880</v>
      </c>
      <c r="G25" s="47">
        <f t="shared" si="4"/>
        <v>-45777.599999999999</v>
      </c>
      <c r="H25" s="47">
        <f t="shared" si="4"/>
        <v>-46693.152000000002</v>
      </c>
      <c r="I25" s="47">
        <f t="shared" si="4"/>
        <v>-47627.015040000006</v>
      </c>
      <c r="J25" s="47">
        <f t="shared" si="4"/>
        <v>-48579.555340800005</v>
      </c>
      <c r="K25" s="47">
        <f t="shared" si="4"/>
        <v>-49551.146447616004</v>
      </c>
      <c r="L25" s="47">
        <f t="shared" si="4"/>
        <v>-50542.169376568323</v>
      </c>
      <c r="M25" s="47">
        <f t="shared" si="4"/>
        <v>-51553.012764099687</v>
      </c>
      <c r="N25" s="47">
        <f t="shared" si="4"/>
        <v>-52584.073019381685</v>
      </c>
      <c r="O25" s="47">
        <f t="shared" si="4"/>
        <v>-53635.754479769319</v>
      </c>
      <c r="P25" s="47">
        <f t="shared" si="4"/>
        <v>-54708.469569364708</v>
      </c>
      <c r="Q25" s="47">
        <f t="shared" si="4"/>
        <v>-55802.638960752003</v>
      </c>
      <c r="R25" s="47">
        <f t="shared" si="4"/>
        <v>-56918.691739967042</v>
      </c>
      <c r="S25" s="47">
        <f t="shared" si="4"/>
        <v>-58057.065574766384</v>
      </c>
      <c r="T25" s="47">
        <f t="shared" si="4"/>
        <v>-59218.206886261716</v>
      </c>
      <c r="U25" s="47">
        <f t="shared" si="4"/>
        <v>-60402.571023986951</v>
      </c>
      <c r="V25" s="47">
        <f t="shared" si="4"/>
        <v>-61610.622444466695</v>
      </c>
      <c r="W25" s="47">
        <f t="shared" si="4"/>
        <v>-62842.834893356026</v>
      </c>
      <c r="X25" s="47">
        <f t="shared" si="4"/>
        <v>-64099.691591223149</v>
      </c>
    </row>
    <row r="26" spans="1:24" x14ac:dyDescent="0.2">
      <c r="A26" s="46" t="s">
        <v>31</v>
      </c>
      <c r="B26" s="34"/>
      <c r="C26" s="34"/>
      <c r="D26" s="41" t="s">
        <v>26</v>
      </c>
      <c r="E26" s="47">
        <v>-19100</v>
      </c>
      <c r="F26" s="47">
        <f t="shared" si="4"/>
        <v>-19482</v>
      </c>
      <c r="G26" s="47">
        <f t="shared" si="4"/>
        <v>-19871.64</v>
      </c>
      <c r="H26" s="47">
        <f t="shared" si="4"/>
        <v>-20269.072799999998</v>
      </c>
      <c r="I26" s="47">
        <f t="shared" si="4"/>
        <v>-20674.454255999997</v>
      </c>
      <c r="J26" s="47">
        <f t="shared" si="4"/>
        <v>-21087.943341119997</v>
      </c>
      <c r="K26" s="47">
        <f t="shared" si="4"/>
        <v>-21509.702207942399</v>
      </c>
      <c r="L26" s="47">
        <f t="shared" si="4"/>
        <v>-21939.896252101247</v>
      </c>
      <c r="M26" s="47">
        <f t="shared" si="4"/>
        <v>-22378.694177143272</v>
      </c>
      <c r="N26" s="47">
        <f t="shared" si="4"/>
        <v>-22826.26806068614</v>
      </c>
      <c r="O26" s="47">
        <f t="shared" si="4"/>
        <v>-23282.793421899863</v>
      </c>
      <c r="P26" s="47">
        <f t="shared" si="4"/>
        <v>-23748.44929033786</v>
      </c>
      <c r="Q26" s="47">
        <f t="shared" si="4"/>
        <v>-24223.418276144617</v>
      </c>
      <c r="R26" s="47">
        <f t="shared" si="4"/>
        <v>-24707.886641667508</v>
      </c>
      <c r="S26" s="47">
        <f t="shared" si="4"/>
        <v>-25202.04437450086</v>
      </c>
      <c r="T26" s="47">
        <f t="shared" si="4"/>
        <v>-25706.085261990876</v>
      </c>
      <c r="U26" s="47">
        <f t="shared" si="4"/>
        <v>-26220.206967230693</v>
      </c>
      <c r="V26" s="47">
        <f t="shared" si="4"/>
        <v>-26744.611106575307</v>
      </c>
      <c r="W26" s="47">
        <f t="shared" si="4"/>
        <v>-27279.503328706815</v>
      </c>
      <c r="X26" s="47">
        <f t="shared" si="4"/>
        <v>-27825.09339528095</v>
      </c>
    </row>
    <row r="27" spans="1:24" x14ac:dyDescent="0.2">
      <c r="A27" s="46" t="s">
        <v>32</v>
      </c>
      <c r="B27" s="34"/>
      <c r="C27" s="34"/>
      <c r="D27" s="41" t="s">
        <v>26</v>
      </c>
      <c r="E27" s="47">
        <v>-8800</v>
      </c>
      <c r="F27" s="47">
        <f t="shared" si="4"/>
        <v>-8976</v>
      </c>
      <c r="G27" s="47">
        <f t="shared" si="4"/>
        <v>-9155.52</v>
      </c>
      <c r="H27" s="47">
        <f t="shared" si="4"/>
        <v>-9338.6304</v>
      </c>
      <c r="I27" s="47">
        <f t="shared" si="4"/>
        <v>-9525.4030079999993</v>
      </c>
      <c r="J27" s="47">
        <f t="shared" si="4"/>
        <v>-9715.9110681599996</v>
      </c>
      <c r="K27" s="47">
        <f t="shared" si="4"/>
        <v>-9910.2292895232004</v>
      </c>
      <c r="L27" s="47">
        <f t="shared" si="4"/>
        <v>-10108.433875313665</v>
      </c>
      <c r="M27" s="47">
        <f t="shared" si="4"/>
        <v>-10310.602552819939</v>
      </c>
      <c r="N27" s="47">
        <f t="shared" si="4"/>
        <v>-10516.814603876337</v>
      </c>
      <c r="O27" s="47">
        <f t="shared" si="4"/>
        <v>-10727.150895953864</v>
      </c>
      <c r="P27" s="47">
        <f t="shared" si="4"/>
        <v>-10941.693913872941</v>
      </c>
      <c r="Q27" s="47">
        <f t="shared" si="4"/>
        <v>-11160.5277921504</v>
      </c>
      <c r="R27" s="47">
        <f t="shared" si="4"/>
        <v>-11383.738347993409</v>
      </c>
      <c r="S27" s="47">
        <f t="shared" si="4"/>
        <v>-11611.413114953277</v>
      </c>
      <c r="T27" s="47">
        <f t="shared" si="4"/>
        <v>-11843.641377252343</v>
      </c>
      <c r="U27" s="47">
        <f t="shared" si="4"/>
        <v>-12080.51420479739</v>
      </c>
      <c r="V27" s="47">
        <f t="shared" si="4"/>
        <v>-12322.124488893338</v>
      </c>
      <c r="W27" s="47">
        <f t="shared" si="4"/>
        <v>-12568.566978671204</v>
      </c>
      <c r="X27" s="47">
        <f t="shared" si="4"/>
        <v>-12819.938318244629</v>
      </c>
    </row>
    <row r="28" spans="1:24" x14ac:dyDescent="0.2">
      <c r="A28" s="46" t="s">
        <v>33</v>
      </c>
      <c r="B28" s="48"/>
      <c r="C28" s="48"/>
      <c r="D28" s="41" t="s">
        <v>26</v>
      </c>
      <c r="E28" s="49">
        <f>-1.5*D9</f>
        <v>-40303.5</v>
      </c>
      <c r="F28" s="49">
        <f t="shared" si="4"/>
        <v>-41109.57</v>
      </c>
      <c r="G28" s="49">
        <f t="shared" si="4"/>
        <v>-41931.761400000003</v>
      </c>
      <c r="H28" s="49">
        <f t="shared" si="4"/>
        <v>-42770.396628000002</v>
      </c>
      <c r="I28" s="49">
        <f t="shared" si="4"/>
        <v>-43625.804560560005</v>
      </c>
      <c r="J28" s="49">
        <f t="shared" si="4"/>
        <v>-44498.32065177121</v>
      </c>
      <c r="K28" s="49">
        <f t="shared" si="4"/>
        <v>-45388.287064806638</v>
      </c>
      <c r="L28" s="49">
        <f t="shared" si="4"/>
        <v>-46296.052806102773</v>
      </c>
      <c r="M28" s="49">
        <f t="shared" si="4"/>
        <v>-47221.973862224826</v>
      </c>
      <c r="N28" s="49">
        <f t="shared" si="4"/>
        <v>-48166.41333946932</v>
      </c>
      <c r="O28" s="49">
        <f t="shared" si="4"/>
        <v>-49129.741606258707</v>
      </c>
      <c r="P28" s="49">
        <f t="shared" si="4"/>
        <v>-50112.336438383885</v>
      </c>
      <c r="Q28" s="49">
        <f t="shared" si="4"/>
        <v>-51114.583167151563</v>
      </c>
      <c r="R28" s="49">
        <f t="shared" si="4"/>
        <v>-52136.874830494591</v>
      </c>
      <c r="S28" s="49">
        <f t="shared" si="4"/>
        <v>-53179.612327104485</v>
      </c>
      <c r="T28" s="49">
        <f t="shared" si="4"/>
        <v>-54243.204573646573</v>
      </c>
      <c r="U28" s="49">
        <f t="shared" si="4"/>
        <v>-55328.068665119506</v>
      </c>
      <c r="V28" s="49">
        <f t="shared" si="4"/>
        <v>-56434.630038421899</v>
      </c>
      <c r="W28" s="49">
        <f t="shared" si="4"/>
        <v>-57563.322639190337</v>
      </c>
      <c r="X28" s="49">
        <f t="shared" si="4"/>
        <v>-58714.589091974143</v>
      </c>
    </row>
    <row r="29" spans="1:24" x14ac:dyDescent="0.2">
      <c r="A29" s="46" t="s">
        <v>34</v>
      </c>
      <c r="B29" s="34"/>
      <c r="C29" s="34"/>
      <c r="D29" s="41" t="s">
        <v>26</v>
      </c>
      <c r="E29" s="47">
        <v>-57000</v>
      </c>
      <c r="F29" s="47">
        <f t="shared" si="4"/>
        <v>-58140</v>
      </c>
      <c r="G29" s="47">
        <f t="shared" si="4"/>
        <v>-59302.8</v>
      </c>
      <c r="H29" s="47">
        <f t="shared" si="4"/>
        <v>-60488.856000000007</v>
      </c>
      <c r="I29" s="47">
        <f t="shared" si="4"/>
        <v>-61698.633120000006</v>
      </c>
      <c r="J29" s="47">
        <f t="shared" si="4"/>
        <v>-62932.605782400009</v>
      </c>
      <c r="K29" s="47">
        <f t="shared" si="4"/>
        <v>-64191.25789804801</v>
      </c>
      <c r="L29" s="47">
        <f t="shared" si="4"/>
        <v>-65475.083056008974</v>
      </c>
      <c r="M29" s="47">
        <f t="shared" si="4"/>
        <v>-66784.584717129153</v>
      </c>
      <c r="N29" s="47">
        <f t="shared" si="4"/>
        <v>-68120.276411471743</v>
      </c>
      <c r="O29" s="47">
        <f t="shared" si="4"/>
        <v>-69482.681939701186</v>
      </c>
      <c r="P29" s="47">
        <f t="shared" si="4"/>
        <v>-70872.335578495215</v>
      </c>
      <c r="Q29" s="47">
        <f t="shared" si="4"/>
        <v>-72289.782290065123</v>
      </c>
      <c r="R29" s="47">
        <f t="shared" si="4"/>
        <v>-73735.577935866429</v>
      </c>
      <c r="S29" s="47">
        <f t="shared" si="4"/>
        <v>-75210.289494583762</v>
      </c>
      <c r="T29" s="47">
        <f t="shared" si="4"/>
        <v>-76714.495284475444</v>
      </c>
      <c r="U29" s="47">
        <f t="shared" si="4"/>
        <v>-78248.785190164956</v>
      </c>
      <c r="V29" s="47">
        <f t="shared" si="4"/>
        <v>-79813.760893968254</v>
      </c>
      <c r="W29" s="47">
        <f t="shared" si="4"/>
        <v>-81410.036111847614</v>
      </c>
      <c r="X29" s="47">
        <f t="shared" si="4"/>
        <v>-83038.236834084571</v>
      </c>
    </row>
    <row r="30" spans="1:24" x14ac:dyDescent="0.2">
      <c r="A30" s="43" t="s">
        <v>35</v>
      </c>
      <c r="B30" s="44"/>
      <c r="C30" s="44"/>
      <c r="D30" s="41" t="s">
        <v>26</v>
      </c>
      <c r="E30" s="45">
        <f t="shared" ref="E30:X30" si="5">+SUM(E31:E33)</f>
        <v>-430763.80799999996</v>
      </c>
      <c r="F30" s="45">
        <f t="shared" si="5"/>
        <v>-436695.40843999991</v>
      </c>
      <c r="G30" s="45">
        <f t="shared" si="5"/>
        <v>-442733.56596019992</v>
      </c>
      <c r="H30" s="45">
        <f t="shared" si="5"/>
        <v>-448880.3513275609</v>
      </c>
      <c r="I30" s="45">
        <f t="shared" si="5"/>
        <v>-455137.8764225099</v>
      </c>
      <c r="J30" s="45">
        <f t="shared" si="5"/>
        <v>-461508.2950596998</v>
      </c>
      <c r="K30" s="45">
        <f t="shared" si="5"/>
        <v>-467993.80382517731</v>
      </c>
      <c r="L30" s="45">
        <f t="shared" si="5"/>
        <v>-474596.64293028571</v>
      </c>
      <c r="M30" s="45">
        <f t="shared" si="5"/>
        <v>-481319.09708263935</v>
      </c>
      <c r="N30" s="45">
        <f t="shared" si="5"/>
        <v>-488163.49637450872</v>
      </c>
      <c r="O30" s="45">
        <f t="shared" si="5"/>
        <v>-495132.21718896658</v>
      </c>
      <c r="P30" s="45">
        <f t="shared" si="5"/>
        <v>-502227.68312414852</v>
      </c>
      <c r="Q30" s="45">
        <f t="shared" si="5"/>
        <v>-509452.36593599105</v>
      </c>
      <c r="R30" s="45">
        <f t="shared" si="5"/>
        <v>-516808.78649981727</v>
      </c>
      <c r="S30" s="45">
        <f t="shared" si="5"/>
        <v>-524299.5157911455</v>
      </c>
      <c r="T30" s="45">
        <f t="shared" si="5"/>
        <v>-531927.17588610691</v>
      </c>
      <c r="U30" s="45">
        <f t="shared" si="5"/>
        <v>-539694.4409818633</v>
      </c>
      <c r="V30" s="45">
        <f t="shared" si="5"/>
        <v>-547604.03843742504</v>
      </c>
      <c r="W30" s="45">
        <f t="shared" si="5"/>
        <v>-555658.74983527756</v>
      </c>
      <c r="X30" s="45">
        <f t="shared" si="5"/>
        <v>-563861.41206423263</v>
      </c>
    </row>
    <row r="31" spans="1:24" x14ac:dyDescent="0.2">
      <c r="A31" s="46" t="s">
        <v>36</v>
      </c>
      <c r="B31" s="34"/>
      <c r="C31" s="34"/>
      <c r="D31" s="41" t="s">
        <v>26</v>
      </c>
      <c r="E31" s="47">
        <f>-9.54*D8</f>
        <v>-256330.25999999998</v>
      </c>
      <c r="F31" s="47">
        <f t="shared" si="4"/>
        <v>-261456.86519999997</v>
      </c>
      <c r="G31" s="47">
        <f t="shared" si="4"/>
        <v>-266686.00250399997</v>
      </c>
      <c r="H31" s="47">
        <f t="shared" si="4"/>
        <v>-272019.72255407996</v>
      </c>
      <c r="I31" s="47">
        <f t="shared" si="4"/>
        <v>-277460.11700516153</v>
      </c>
      <c r="J31" s="47">
        <f t="shared" si="4"/>
        <v>-283009.31934526475</v>
      </c>
      <c r="K31" s="47">
        <f t="shared" si="4"/>
        <v>-288669.50573217007</v>
      </c>
      <c r="L31" s="47">
        <f t="shared" si="4"/>
        <v>-294442.89584681345</v>
      </c>
      <c r="M31" s="47">
        <f t="shared" si="4"/>
        <v>-300331.75376374973</v>
      </c>
      <c r="N31" s="47">
        <f t="shared" si="4"/>
        <v>-306338.3888390247</v>
      </c>
      <c r="O31" s="47">
        <f t="shared" si="4"/>
        <v>-312465.15661580517</v>
      </c>
      <c r="P31" s="47">
        <f t="shared" si="4"/>
        <v>-318714.45974812127</v>
      </c>
      <c r="Q31" s="47">
        <f t="shared" si="4"/>
        <v>-325088.74894308369</v>
      </c>
      <c r="R31" s="47">
        <f t="shared" si="4"/>
        <v>-331590.52392194537</v>
      </c>
      <c r="S31" s="47">
        <f t="shared" si="4"/>
        <v>-338222.33440038428</v>
      </c>
      <c r="T31" s="47">
        <f t="shared" si="4"/>
        <v>-344986.78108839196</v>
      </c>
      <c r="U31" s="47">
        <f t="shared" si="4"/>
        <v>-351886.51671015978</v>
      </c>
      <c r="V31" s="47">
        <f t="shared" si="4"/>
        <v>-358924.247044363</v>
      </c>
      <c r="W31" s="47">
        <f t="shared" si="4"/>
        <v>-366102.73198525026</v>
      </c>
      <c r="X31" s="47">
        <f t="shared" si="4"/>
        <v>-373424.78662495525</v>
      </c>
    </row>
    <row r="32" spans="1:24" x14ac:dyDescent="0.2">
      <c r="A32" s="46" t="s">
        <v>37</v>
      </c>
      <c r="B32" s="34"/>
      <c r="C32" s="34"/>
      <c r="D32" s="41" t="s">
        <v>26</v>
      </c>
      <c r="E32" s="47">
        <f>-E20*7%</f>
        <v>-160999.04800000001</v>
      </c>
      <c r="F32" s="47">
        <f t="shared" ref="F32:X32" si="6">-F20*7%</f>
        <v>-161804.04323999997</v>
      </c>
      <c r="G32" s="47">
        <f t="shared" si="6"/>
        <v>-162613.06345619998</v>
      </c>
      <c r="H32" s="47">
        <f t="shared" si="6"/>
        <v>-163426.12877348094</v>
      </c>
      <c r="I32" s="47">
        <f t="shared" si="6"/>
        <v>-164243.25941734834</v>
      </c>
      <c r="J32" s="47">
        <f t="shared" si="6"/>
        <v>-165064.47571443507</v>
      </c>
      <c r="K32" s="47">
        <f t="shared" si="6"/>
        <v>-165889.79809300724</v>
      </c>
      <c r="L32" s="47">
        <f t="shared" si="6"/>
        <v>-166719.24708347226</v>
      </c>
      <c r="M32" s="47">
        <f t="shared" si="6"/>
        <v>-167552.84331888962</v>
      </c>
      <c r="N32" s="47">
        <f t="shared" si="6"/>
        <v>-168390.60753548401</v>
      </c>
      <c r="O32" s="47">
        <f t="shared" si="6"/>
        <v>-169232.56057316141</v>
      </c>
      <c r="P32" s="47">
        <f t="shared" si="6"/>
        <v>-170078.72337602722</v>
      </c>
      <c r="Q32" s="47">
        <f t="shared" si="6"/>
        <v>-170929.11699290734</v>
      </c>
      <c r="R32" s="47">
        <f t="shared" si="6"/>
        <v>-171783.76257787188</v>
      </c>
      <c r="S32" s="47">
        <f t="shared" si="6"/>
        <v>-172642.68139076122</v>
      </c>
      <c r="T32" s="47">
        <f t="shared" si="6"/>
        <v>-173505.89479771498</v>
      </c>
      <c r="U32" s="47">
        <f t="shared" si="6"/>
        <v>-174373.42427170355</v>
      </c>
      <c r="V32" s="47">
        <f t="shared" si="6"/>
        <v>-175245.29139306204</v>
      </c>
      <c r="W32" s="47">
        <f t="shared" si="6"/>
        <v>-176121.51785002733</v>
      </c>
      <c r="X32" s="47">
        <f t="shared" si="6"/>
        <v>-177002.12543927744</v>
      </c>
    </row>
    <row r="33" spans="1:24" x14ac:dyDescent="0.2">
      <c r="A33" s="46" t="s">
        <v>38</v>
      </c>
      <c r="B33" s="34"/>
      <c r="C33" s="34"/>
      <c r="D33" s="41" t="s">
        <v>26</v>
      </c>
      <c r="E33" s="47">
        <f>-0.5*$D$8</f>
        <v>-13434.5</v>
      </c>
      <c r="F33" s="47">
        <f t="shared" ref="F33:X33" si="7">-0.5*$D$8</f>
        <v>-13434.5</v>
      </c>
      <c r="G33" s="47">
        <f t="shared" si="7"/>
        <v>-13434.5</v>
      </c>
      <c r="H33" s="47">
        <f t="shared" si="7"/>
        <v>-13434.5</v>
      </c>
      <c r="I33" s="47">
        <f t="shared" si="7"/>
        <v>-13434.5</v>
      </c>
      <c r="J33" s="47">
        <f t="shared" si="7"/>
        <v>-13434.5</v>
      </c>
      <c r="K33" s="47">
        <f t="shared" si="7"/>
        <v>-13434.5</v>
      </c>
      <c r="L33" s="47">
        <f t="shared" si="7"/>
        <v>-13434.5</v>
      </c>
      <c r="M33" s="47">
        <f t="shared" si="7"/>
        <v>-13434.5</v>
      </c>
      <c r="N33" s="47">
        <f t="shared" si="7"/>
        <v>-13434.5</v>
      </c>
      <c r="O33" s="47">
        <f t="shared" si="7"/>
        <v>-13434.5</v>
      </c>
      <c r="P33" s="47">
        <f t="shared" si="7"/>
        <v>-13434.5</v>
      </c>
      <c r="Q33" s="47">
        <f t="shared" si="7"/>
        <v>-13434.5</v>
      </c>
      <c r="R33" s="47">
        <f t="shared" si="7"/>
        <v>-13434.5</v>
      </c>
      <c r="S33" s="47">
        <f t="shared" si="7"/>
        <v>-13434.5</v>
      </c>
      <c r="T33" s="47">
        <f t="shared" si="7"/>
        <v>-13434.5</v>
      </c>
      <c r="U33" s="47">
        <f t="shared" si="7"/>
        <v>-13434.5</v>
      </c>
      <c r="V33" s="47">
        <f t="shared" si="7"/>
        <v>-13434.5</v>
      </c>
      <c r="W33" s="47">
        <f t="shared" si="7"/>
        <v>-13434.5</v>
      </c>
      <c r="X33" s="47">
        <f t="shared" si="7"/>
        <v>-13434.5</v>
      </c>
    </row>
    <row r="34" spans="1:24" x14ac:dyDescent="0.2">
      <c r="A34" s="36" t="s">
        <v>39</v>
      </c>
      <c r="B34" s="37"/>
      <c r="C34" s="37"/>
      <c r="D34" s="38" t="s">
        <v>40</v>
      </c>
      <c r="E34" s="39">
        <f t="shared" ref="E34:X34" si="8">+E20+E21</f>
        <v>1548019.0919999999</v>
      </c>
      <c r="F34" s="39">
        <f t="shared" si="8"/>
        <v>1547163.3535599995</v>
      </c>
      <c r="G34" s="39">
        <f t="shared" si="8"/>
        <v>1546130.0762997994</v>
      </c>
      <c r="H34" s="39">
        <f t="shared" si="8"/>
        <v>1544914.9073227383</v>
      </c>
      <c r="I34" s="39">
        <f t="shared" si="8"/>
        <v>1543513.4026636207</v>
      </c>
      <c r="J34" s="39">
        <f t="shared" si="8"/>
        <v>1541921.0254472927</v>
      </c>
      <c r="K34" s="39">
        <f t="shared" si="8"/>
        <v>1540133.14401029</v>
      </c>
      <c r="L34" s="39">
        <f t="shared" si="8"/>
        <v>1538145.0299848178</v>
      </c>
      <c r="M34" s="39">
        <f t="shared" si="8"/>
        <v>1535951.8563443078</v>
      </c>
      <c r="N34" s="39">
        <f t="shared" si="8"/>
        <v>1533548.6954097864</v>
      </c>
      <c r="O34" s="39">
        <f t="shared" si="8"/>
        <v>1530930.5168162673</v>
      </c>
      <c r="P34" s="39">
        <f t="shared" si="8"/>
        <v>1528092.1854383696</v>
      </c>
      <c r="Q34" s="39">
        <f t="shared" si="8"/>
        <v>1525028.4592743427</v>
      </c>
      <c r="R34" s="39">
        <f t="shared" si="8"/>
        <v>1521733.9872876718</v>
      </c>
      <c r="S34" s="39">
        <f t="shared" si="8"/>
        <v>1518203.3072054063</v>
      </c>
      <c r="T34" s="39">
        <f t="shared" si="8"/>
        <v>1514430.8432723552</v>
      </c>
      <c r="U34" s="39">
        <f t="shared" si="8"/>
        <v>1510410.9039602573</v>
      </c>
      <c r="V34" s="39">
        <f t="shared" si="8"/>
        <v>1506137.67963103</v>
      </c>
      <c r="W34" s="39">
        <f t="shared" si="8"/>
        <v>1501605.2401531755</v>
      </c>
      <c r="X34" s="39">
        <f t="shared" si="8"/>
        <v>1496807.5324704121</v>
      </c>
    </row>
    <row r="35" spans="1:24" x14ac:dyDescent="0.2">
      <c r="A35" s="50" t="s">
        <v>41</v>
      </c>
      <c r="B35" s="50"/>
      <c r="C35" s="50"/>
      <c r="D35" s="41" t="s">
        <v>18</v>
      </c>
      <c r="E35" s="51">
        <f>E34/E20</f>
        <v>0.67305575893840064</v>
      </c>
      <c r="F35" s="51">
        <f t="shared" ref="F35:X35" si="9">F34/F20</f>
        <v>0.66933701148962699</v>
      </c>
      <c r="G35" s="51">
        <f t="shared" si="9"/>
        <v>0.66556218203304196</v>
      </c>
      <c r="H35" s="51">
        <f t="shared" si="9"/>
        <v>0.66173043640093954</v>
      </c>
      <c r="I35" s="51">
        <f t="shared" si="9"/>
        <v>0.6578409279610351</v>
      </c>
      <c r="J35" s="51">
        <f t="shared" si="9"/>
        <v>0.65389279743049833</v>
      </c>
      <c r="K35" s="51">
        <f t="shared" si="9"/>
        <v>0.64988517268720936</v>
      </c>
      <c r="L35" s="51">
        <f t="shared" si="9"/>
        <v>0.64581716857819926</v>
      </c>
      <c r="M35" s="51">
        <f t="shared" si="9"/>
        <v>0.64168788672522825</v>
      </c>
      <c r="N35" s="51">
        <f t="shared" si="9"/>
        <v>0.63749641532746493</v>
      </c>
      <c r="O35" s="51">
        <f t="shared" si="9"/>
        <v>0.63324182896121728</v>
      </c>
      <c r="P35" s="51">
        <f t="shared" si="9"/>
        <v>0.62892318837667693</v>
      </c>
      <c r="Q35" s="51">
        <f t="shared" si="9"/>
        <v>0.62453954029162662</v>
      </c>
      <c r="R35" s="51">
        <f t="shared" si="9"/>
        <v>0.62008991718207052</v>
      </c>
      <c r="S35" s="51">
        <f t="shared" si="9"/>
        <v>0.61557333706973805</v>
      </c>
      <c r="T35" s="51">
        <f t="shared" si="9"/>
        <v>0.61098880330641647</v>
      </c>
      <c r="U35" s="51">
        <f t="shared" si="9"/>
        <v>0.60633530435506366</v>
      </c>
      <c r="V35" s="51">
        <f t="shared" si="9"/>
        <v>0.60161181356765436</v>
      </c>
      <c r="W35" s="51">
        <f t="shared" si="9"/>
        <v>0.59681728895970898</v>
      </c>
      <c r="X35" s="51">
        <f t="shared" si="9"/>
        <v>0.59195067298145865</v>
      </c>
    </row>
    <row r="36" spans="1:24" x14ac:dyDescent="0.2">
      <c r="A36" s="46" t="s">
        <v>42</v>
      </c>
      <c r="B36" s="34"/>
      <c r="C36" s="34"/>
      <c r="D36" s="41" t="s">
        <v>26</v>
      </c>
      <c r="E36" s="47">
        <f>-$E$66*1000000/$X$17</f>
        <v>-985500</v>
      </c>
      <c r="F36" s="47">
        <f t="shared" ref="F36:X36" si="10">-$E$66*1000000/$X$17</f>
        <v>-985500</v>
      </c>
      <c r="G36" s="47">
        <f t="shared" si="10"/>
        <v>-985500</v>
      </c>
      <c r="H36" s="47">
        <f t="shared" si="10"/>
        <v>-985500</v>
      </c>
      <c r="I36" s="47">
        <f t="shared" si="10"/>
        <v>-985500</v>
      </c>
      <c r="J36" s="47">
        <f t="shared" si="10"/>
        <v>-985500</v>
      </c>
      <c r="K36" s="47">
        <f t="shared" si="10"/>
        <v>-985500</v>
      </c>
      <c r="L36" s="47">
        <f t="shared" si="10"/>
        <v>-985500</v>
      </c>
      <c r="M36" s="47">
        <f t="shared" si="10"/>
        <v>-985500</v>
      </c>
      <c r="N36" s="47">
        <f t="shared" si="10"/>
        <v>-985500</v>
      </c>
      <c r="O36" s="47">
        <f t="shared" si="10"/>
        <v>-985500</v>
      </c>
      <c r="P36" s="47">
        <f t="shared" si="10"/>
        <v>-985500</v>
      </c>
      <c r="Q36" s="47">
        <f t="shared" si="10"/>
        <v>-985500</v>
      </c>
      <c r="R36" s="47">
        <f t="shared" si="10"/>
        <v>-985500</v>
      </c>
      <c r="S36" s="47">
        <f t="shared" si="10"/>
        <v>-985500</v>
      </c>
      <c r="T36" s="47">
        <f t="shared" si="10"/>
        <v>-985500</v>
      </c>
      <c r="U36" s="47">
        <f t="shared" si="10"/>
        <v>-985500</v>
      </c>
      <c r="V36" s="47">
        <f t="shared" si="10"/>
        <v>-985500</v>
      </c>
      <c r="W36" s="47">
        <f t="shared" si="10"/>
        <v>-985500</v>
      </c>
      <c r="X36" s="47">
        <f t="shared" si="10"/>
        <v>-985500</v>
      </c>
    </row>
    <row r="37" spans="1:24" x14ac:dyDescent="0.2">
      <c r="A37" s="36" t="s">
        <v>43</v>
      </c>
      <c r="B37" s="37"/>
      <c r="C37" s="37"/>
      <c r="D37" s="37"/>
      <c r="E37" s="39">
        <f>+E34+E36</f>
        <v>562519.09199999995</v>
      </c>
      <c r="F37" s="39">
        <f t="shared" ref="F37:X37" si="11">+F34+F36</f>
        <v>561663.35355999949</v>
      </c>
      <c r="G37" s="39">
        <f t="shared" si="11"/>
        <v>560630.07629979937</v>
      </c>
      <c r="H37" s="39">
        <f t="shared" si="11"/>
        <v>559414.90732273832</v>
      </c>
      <c r="I37" s="39">
        <f t="shared" si="11"/>
        <v>558013.40266362065</v>
      </c>
      <c r="J37" s="39">
        <f t="shared" si="11"/>
        <v>556421.02544729272</v>
      </c>
      <c r="K37" s="39">
        <f t="shared" si="11"/>
        <v>554633.14401029004</v>
      </c>
      <c r="L37" s="39">
        <f t="shared" si="11"/>
        <v>552645.02998481784</v>
      </c>
      <c r="M37" s="39">
        <f t="shared" si="11"/>
        <v>550451.85634430777</v>
      </c>
      <c r="N37" s="39">
        <f t="shared" si="11"/>
        <v>548048.69540978642</v>
      </c>
      <c r="O37" s="39">
        <f t="shared" si="11"/>
        <v>545430.51681626728</v>
      </c>
      <c r="P37" s="39">
        <f t="shared" si="11"/>
        <v>542592.18543836963</v>
      </c>
      <c r="Q37" s="39">
        <f t="shared" si="11"/>
        <v>539528.45927434275</v>
      </c>
      <c r="R37" s="39">
        <f t="shared" si="11"/>
        <v>536233.98728767177</v>
      </c>
      <c r="S37" s="39">
        <f t="shared" si="11"/>
        <v>532703.30720540625</v>
      </c>
      <c r="T37" s="39">
        <f t="shared" si="11"/>
        <v>528930.84327235515</v>
      </c>
      <c r="U37" s="39">
        <f t="shared" si="11"/>
        <v>524910.9039602573</v>
      </c>
      <c r="V37" s="39">
        <f t="shared" si="11"/>
        <v>520637.67963102995</v>
      </c>
      <c r="W37" s="39">
        <f t="shared" si="11"/>
        <v>516105.24015317555</v>
      </c>
      <c r="X37" s="39">
        <f t="shared" si="11"/>
        <v>511307.53247041209</v>
      </c>
    </row>
    <row r="38" spans="1:24" x14ac:dyDescent="0.2">
      <c r="A38" s="50" t="s">
        <v>41</v>
      </c>
      <c r="B38" s="50"/>
      <c r="C38" s="50"/>
      <c r="D38" s="41" t="s">
        <v>18</v>
      </c>
      <c r="E38" s="51">
        <f>E37/E20</f>
        <v>0.24457496444326801</v>
      </c>
      <c r="F38" s="51">
        <f t="shared" ref="F38:X38" si="12">F37/F20</f>
        <v>0.24298796224073871</v>
      </c>
      <c r="G38" s="51">
        <f t="shared" si="12"/>
        <v>0.24133427233265556</v>
      </c>
      <c r="H38" s="51">
        <f t="shared" si="12"/>
        <v>0.23961311331597787</v>
      </c>
      <c r="I38" s="51">
        <f t="shared" si="12"/>
        <v>0.23782369106057571</v>
      </c>
      <c r="J38" s="51">
        <f t="shared" si="12"/>
        <v>0.23596519852456854</v>
      </c>
      <c r="K38" s="51">
        <f t="shared" si="12"/>
        <v>0.23403681556688127</v>
      </c>
      <c r="L38" s="51">
        <f t="shared" si="12"/>
        <v>0.23203770875697718</v>
      </c>
      <c r="M38" s="51">
        <f t="shared" si="12"/>
        <v>0.22996703118172368</v>
      </c>
      <c r="N38" s="51">
        <f t="shared" si="12"/>
        <v>0.22782392224935077</v>
      </c>
      <c r="O38" s="51">
        <f t="shared" si="12"/>
        <v>0.22560750749045688</v>
      </c>
      <c r="P38" s="51">
        <f t="shared" si="12"/>
        <v>0.22331689835601978</v>
      </c>
      <c r="Q38" s="51">
        <f t="shared" si="12"/>
        <v>0.22095119201236574</v>
      </c>
      <c r="R38" s="51">
        <f t="shared" si="12"/>
        <v>0.21850947113305477</v>
      </c>
      <c r="S38" s="51">
        <f t="shared" si="12"/>
        <v>0.21599080368763279</v>
      </c>
      <c r="T38" s="51">
        <f t="shared" si="12"/>
        <v>0.21339424272720717</v>
      </c>
      <c r="U38" s="51">
        <f t="shared" si="12"/>
        <v>0.21071882616679569</v>
      </c>
      <c r="V38" s="51">
        <f t="shared" si="12"/>
        <v>0.20796357656440259</v>
      </c>
      <c r="W38" s="51">
        <f t="shared" si="12"/>
        <v>0.20512750089677181</v>
      </c>
      <c r="X38" s="51">
        <f t="shared" si="12"/>
        <v>0.20220959033176994</v>
      </c>
    </row>
    <row r="40" spans="1:24" ht="12.75" thickBot="1" x14ac:dyDescent="0.25">
      <c r="A40" s="52" t="s">
        <v>44</v>
      </c>
      <c r="B40" s="52"/>
      <c r="C40" s="52"/>
      <c r="D40" s="52"/>
      <c r="E40" s="53" t="s">
        <v>9</v>
      </c>
      <c r="F40" s="53" t="s">
        <v>45</v>
      </c>
      <c r="G40" s="53" t="s">
        <v>46</v>
      </c>
      <c r="H40" s="53" t="s">
        <v>47</v>
      </c>
      <c r="I40" s="53" t="s">
        <v>48</v>
      </c>
      <c r="J40" s="53" t="s">
        <v>49</v>
      </c>
      <c r="K40" s="53" t="s">
        <v>50</v>
      </c>
      <c r="L40" s="53" t="s">
        <v>51</v>
      </c>
      <c r="M40" s="53" t="s">
        <v>52</v>
      </c>
      <c r="N40" s="53" t="s">
        <v>53</v>
      </c>
      <c r="O40" s="53" t="s">
        <v>54</v>
      </c>
      <c r="P40" s="53" t="s">
        <v>55</v>
      </c>
      <c r="Q40" s="53" t="s">
        <v>56</v>
      </c>
      <c r="R40" s="53" t="s">
        <v>57</v>
      </c>
      <c r="S40" s="53" t="s">
        <v>58</v>
      </c>
      <c r="T40" s="53" t="s">
        <v>59</v>
      </c>
      <c r="U40" s="53" t="s">
        <v>60</v>
      </c>
      <c r="V40" s="53" t="s">
        <v>61</v>
      </c>
      <c r="W40" s="53" t="s">
        <v>62</v>
      </c>
      <c r="X40" s="53" t="s">
        <v>63</v>
      </c>
    </row>
    <row r="41" spans="1:24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x14ac:dyDescent="0.2">
      <c r="A42" s="95" t="s">
        <v>64</v>
      </c>
      <c r="B42" s="95"/>
      <c r="C42" s="13"/>
      <c r="D42" s="54" t="s">
        <v>18</v>
      </c>
      <c r="E42" s="55">
        <v>0.625</v>
      </c>
      <c r="F42" s="55">
        <v>0.625</v>
      </c>
      <c r="G42" s="55">
        <v>0.625</v>
      </c>
      <c r="H42" s="55">
        <v>0.625</v>
      </c>
      <c r="I42" s="55">
        <v>0.625</v>
      </c>
      <c r="J42" s="55">
        <v>0.625</v>
      </c>
      <c r="K42" s="55">
        <v>0.625</v>
      </c>
      <c r="L42" s="55">
        <v>0.625</v>
      </c>
      <c r="M42" s="55">
        <v>0.625</v>
      </c>
      <c r="N42" s="55">
        <v>0.625</v>
      </c>
      <c r="O42" s="55">
        <v>0.625</v>
      </c>
      <c r="P42" s="55">
        <v>0.625</v>
      </c>
      <c r="Q42" s="55">
        <v>0.625</v>
      </c>
      <c r="R42" s="55">
        <v>0.625</v>
      </c>
      <c r="S42" s="55">
        <v>0.625</v>
      </c>
      <c r="T42" s="55">
        <v>0.625</v>
      </c>
      <c r="U42" s="55">
        <v>0.625</v>
      </c>
      <c r="V42" s="55">
        <v>0.625</v>
      </c>
      <c r="W42" s="55">
        <v>0.625</v>
      </c>
      <c r="X42" s="55">
        <v>0.625</v>
      </c>
    </row>
    <row r="43" spans="1:24" x14ac:dyDescent="0.2">
      <c r="A43" s="4" t="s">
        <v>65</v>
      </c>
      <c r="B43" s="13"/>
      <c r="C43" s="13"/>
      <c r="D43" s="54" t="s">
        <v>18</v>
      </c>
      <c r="E43" s="55">
        <v>0.375</v>
      </c>
      <c r="F43" s="55">
        <v>0.375</v>
      </c>
      <c r="G43" s="55">
        <v>0.375</v>
      </c>
      <c r="H43" s="55">
        <v>0.375</v>
      </c>
      <c r="I43" s="55">
        <v>0.375</v>
      </c>
      <c r="J43" s="55">
        <v>0.375</v>
      </c>
      <c r="K43" s="55">
        <v>0.375</v>
      </c>
      <c r="L43" s="55">
        <v>0.375</v>
      </c>
      <c r="M43" s="55">
        <v>0.375</v>
      </c>
      <c r="N43" s="55">
        <v>0.375</v>
      </c>
      <c r="O43" s="55">
        <v>0.375</v>
      </c>
      <c r="P43" s="55">
        <v>0.375</v>
      </c>
      <c r="Q43" s="55">
        <v>0.375</v>
      </c>
      <c r="R43" s="55">
        <v>0.375</v>
      </c>
      <c r="S43" s="55">
        <v>0.375</v>
      </c>
      <c r="T43" s="55">
        <v>0.375</v>
      </c>
      <c r="U43" s="55">
        <v>0.375</v>
      </c>
      <c r="V43" s="55">
        <v>0.375</v>
      </c>
      <c r="W43" s="55">
        <v>0.375</v>
      </c>
      <c r="X43" s="55">
        <v>0.375</v>
      </c>
    </row>
    <row r="44" spans="1:24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x14ac:dyDescent="0.2">
      <c r="A45" s="4" t="s">
        <v>66</v>
      </c>
      <c r="B45" s="13"/>
      <c r="C45" s="13"/>
      <c r="D45" s="41" t="s">
        <v>26</v>
      </c>
      <c r="E45" s="56">
        <f>E42*E20</f>
        <v>1437491.5</v>
      </c>
      <c r="F45" s="56">
        <f t="shared" ref="F45:X45" si="13">F42*F20</f>
        <v>1444678.9574999996</v>
      </c>
      <c r="G45" s="56">
        <f t="shared" si="13"/>
        <v>1451902.3522874995</v>
      </c>
      <c r="H45" s="56">
        <f t="shared" si="13"/>
        <v>1459161.8640489369</v>
      </c>
      <c r="I45" s="56">
        <f t="shared" si="13"/>
        <v>1466457.6733691816</v>
      </c>
      <c r="J45" s="56">
        <f t="shared" si="13"/>
        <v>1473789.9617360274</v>
      </c>
      <c r="K45" s="56">
        <f t="shared" si="13"/>
        <v>1481158.9115447074</v>
      </c>
      <c r="L45" s="56">
        <f t="shared" si="13"/>
        <v>1488564.7061024306</v>
      </c>
      <c r="M45" s="56">
        <f t="shared" si="13"/>
        <v>1496007.5296329428</v>
      </c>
      <c r="N45" s="56">
        <f t="shared" si="13"/>
        <v>1503487.5672811072</v>
      </c>
      <c r="O45" s="56">
        <f t="shared" si="13"/>
        <v>1511005.0051175125</v>
      </c>
      <c r="P45" s="56">
        <f t="shared" si="13"/>
        <v>1518560.0301431001</v>
      </c>
      <c r="Q45" s="56">
        <f t="shared" si="13"/>
        <v>1526152.8302938154</v>
      </c>
      <c r="R45" s="56">
        <f t="shared" si="13"/>
        <v>1533783.5944452845</v>
      </c>
      <c r="S45" s="56">
        <f t="shared" si="13"/>
        <v>1541452.5124175106</v>
      </c>
      <c r="T45" s="56">
        <f t="shared" si="13"/>
        <v>1549159.7749795979</v>
      </c>
      <c r="U45" s="56">
        <f t="shared" si="13"/>
        <v>1556905.5738544958</v>
      </c>
      <c r="V45" s="56">
        <f t="shared" si="13"/>
        <v>1564690.1017237683</v>
      </c>
      <c r="W45" s="56">
        <f t="shared" si="13"/>
        <v>1572513.5522323868</v>
      </c>
      <c r="X45" s="56">
        <f t="shared" si="13"/>
        <v>1580376.1199935484</v>
      </c>
    </row>
    <row r="46" spans="1:24" x14ac:dyDescent="0.2">
      <c r="A46" s="4" t="s">
        <v>67</v>
      </c>
      <c r="B46" s="13"/>
      <c r="C46" s="13"/>
      <c r="D46" s="41" t="s">
        <v>26</v>
      </c>
      <c r="E46" s="56">
        <f>E43*E20</f>
        <v>862494.89999999991</v>
      </c>
      <c r="F46" s="56">
        <f t="shared" ref="F46:X46" si="14">F43*F20</f>
        <v>866807.3744999998</v>
      </c>
      <c r="G46" s="56">
        <f t="shared" si="14"/>
        <v>871141.41137249977</v>
      </c>
      <c r="H46" s="56">
        <f t="shared" si="14"/>
        <v>875497.11842936219</v>
      </c>
      <c r="I46" s="56">
        <f t="shared" si="14"/>
        <v>879874.60402150895</v>
      </c>
      <c r="J46" s="56">
        <f t="shared" si="14"/>
        <v>884273.97704161634</v>
      </c>
      <c r="K46" s="56">
        <f t="shared" si="14"/>
        <v>888695.34692682442</v>
      </c>
      <c r="L46" s="56">
        <f t="shared" si="14"/>
        <v>893138.82366145845</v>
      </c>
      <c r="M46" s="56">
        <f t="shared" si="14"/>
        <v>897604.51777976565</v>
      </c>
      <c r="N46" s="56">
        <f t="shared" si="14"/>
        <v>902092.54036866431</v>
      </c>
      <c r="O46" s="56">
        <f t="shared" si="14"/>
        <v>906603.00307050743</v>
      </c>
      <c r="P46" s="56">
        <f t="shared" si="14"/>
        <v>911136.01808585995</v>
      </c>
      <c r="Q46" s="56">
        <f t="shared" si="14"/>
        <v>915691.69817628921</v>
      </c>
      <c r="R46" s="56">
        <f t="shared" si="14"/>
        <v>920270.15666717058</v>
      </c>
      <c r="S46" s="56">
        <f t="shared" si="14"/>
        <v>924871.50745050644</v>
      </c>
      <c r="T46" s="56">
        <f t="shared" si="14"/>
        <v>929495.8649877588</v>
      </c>
      <c r="U46" s="56">
        <f t="shared" si="14"/>
        <v>934143.34431269753</v>
      </c>
      <c r="V46" s="56">
        <f t="shared" si="14"/>
        <v>938814.0610342609</v>
      </c>
      <c r="W46" s="56">
        <f t="shared" si="14"/>
        <v>943508.13133943197</v>
      </c>
      <c r="X46" s="56">
        <f t="shared" si="14"/>
        <v>948225.67199612909</v>
      </c>
    </row>
    <row r="47" spans="1:24" x14ac:dyDescent="0.2">
      <c r="A47" s="4" t="s">
        <v>68</v>
      </c>
      <c r="B47" s="13"/>
      <c r="C47" s="13"/>
      <c r="D47" s="41" t="s">
        <v>26</v>
      </c>
      <c r="E47" s="56">
        <f>E21</f>
        <v>-751967.30799999996</v>
      </c>
      <c r="F47" s="56">
        <f t="shared" ref="F47:X47" si="15">F21</f>
        <v>-764322.97843999998</v>
      </c>
      <c r="G47" s="56">
        <f t="shared" si="15"/>
        <v>-776913.68736019987</v>
      </c>
      <c r="H47" s="56">
        <f t="shared" si="15"/>
        <v>-789744.07515556086</v>
      </c>
      <c r="I47" s="56">
        <f t="shared" si="15"/>
        <v>-802818.87472706987</v>
      </c>
      <c r="J47" s="56">
        <f t="shared" si="15"/>
        <v>-816142.913330351</v>
      </c>
      <c r="K47" s="56">
        <f t="shared" si="15"/>
        <v>-829721.11446124164</v>
      </c>
      <c r="L47" s="56">
        <f t="shared" si="15"/>
        <v>-843558.49977907131</v>
      </c>
      <c r="M47" s="56">
        <f t="shared" si="15"/>
        <v>-857660.19106840063</v>
      </c>
      <c r="N47" s="56">
        <f t="shared" si="15"/>
        <v>-872031.41223998519</v>
      </c>
      <c r="O47" s="56">
        <f t="shared" si="15"/>
        <v>-886677.49137175269</v>
      </c>
      <c r="P47" s="56">
        <f t="shared" si="15"/>
        <v>-901603.86279059038</v>
      </c>
      <c r="Q47" s="56">
        <f t="shared" si="15"/>
        <v>-916816.06919576169</v>
      </c>
      <c r="R47" s="56">
        <f t="shared" si="15"/>
        <v>-932319.76382478327</v>
      </c>
      <c r="S47" s="56">
        <f t="shared" si="15"/>
        <v>-948120.71266261092</v>
      </c>
      <c r="T47" s="56">
        <f t="shared" si="15"/>
        <v>-964224.79669500166</v>
      </c>
      <c r="U47" s="56">
        <f t="shared" si="15"/>
        <v>-980638.014206936</v>
      </c>
      <c r="V47" s="56">
        <f t="shared" si="15"/>
        <v>-997366.48312699911</v>
      </c>
      <c r="W47" s="56">
        <f t="shared" si="15"/>
        <v>-1014416.4434186432</v>
      </c>
      <c r="X47" s="56">
        <f t="shared" si="15"/>
        <v>-1031794.2595192655</v>
      </c>
    </row>
    <row r="48" spans="1:2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x14ac:dyDescent="0.2">
      <c r="A49" s="13"/>
      <c r="B49" s="28" t="s">
        <v>69</v>
      </c>
      <c r="C49" s="2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">
      <c r="A50" s="4" t="s">
        <v>70</v>
      </c>
      <c r="B50" s="8">
        <v>7</v>
      </c>
      <c r="C50" s="8"/>
      <c r="D50" s="41" t="s">
        <v>26</v>
      </c>
      <c r="E50" s="57">
        <f>E45/365*(365-$B$50)</f>
        <v>1409923.1698630138</v>
      </c>
      <c r="F50" s="57">
        <f t="shared" ref="F50:X50" si="16">F45/365*(365-$B$50)</f>
        <v>1416972.7857123283</v>
      </c>
      <c r="G50" s="57">
        <f t="shared" si="16"/>
        <v>1424057.6496408901</v>
      </c>
      <c r="H50" s="57">
        <f t="shared" si="16"/>
        <v>1431177.9378890942</v>
      </c>
      <c r="I50" s="57">
        <f t="shared" si="16"/>
        <v>1438333.8275785397</v>
      </c>
      <c r="J50" s="57">
        <f t="shared" si="16"/>
        <v>1445525.4967164323</v>
      </c>
      <c r="K50" s="57">
        <f t="shared" si="16"/>
        <v>1452753.1242000144</v>
      </c>
      <c r="L50" s="57">
        <f t="shared" si="16"/>
        <v>1460016.8898210141</v>
      </c>
      <c r="M50" s="57">
        <f t="shared" si="16"/>
        <v>1467316.9742701191</v>
      </c>
      <c r="N50" s="57">
        <f t="shared" si="16"/>
        <v>1474653.5591414694</v>
      </c>
      <c r="O50" s="57">
        <f t="shared" si="16"/>
        <v>1482026.8269371768</v>
      </c>
      <c r="P50" s="57">
        <f t="shared" si="16"/>
        <v>1489436.9610718626</v>
      </c>
      <c r="Q50" s="57">
        <f t="shared" si="16"/>
        <v>1496884.1458772218</v>
      </c>
      <c r="R50" s="57">
        <f t="shared" si="16"/>
        <v>1504368.5666066078</v>
      </c>
      <c r="S50" s="57">
        <f t="shared" si="16"/>
        <v>1511890.4094396406</v>
      </c>
      <c r="T50" s="57">
        <f t="shared" si="16"/>
        <v>1519449.8614868384</v>
      </c>
      <c r="U50" s="57">
        <f t="shared" si="16"/>
        <v>1527047.1107942725</v>
      </c>
      <c r="V50" s="57">
        <f t="shared" si="16"/>
        <v>1534682.3463482438</v>
      </c>
      <c r="W50" s="57">
        <f t="shared" si="16"/>
        <v>1542355.7580799847</v>
      </c>
      <c r="X50" s="57">
        <f t="shared" si="16"/>
        <v>1550067.5368703844</v>
      </c>
    </row>
    <row r="51" spans="1:24" x14ac:dyDescent="0.2">
      <c r="A51" s="4" t="s">
        <v>71</v>
      </c>
      <c r="B51" s="8">
        <v>60</v>
      </c>
      <c r="C51" s="8"/>
      <c r="D51" s="41" t="s">
        <v>26</v>
      </c>
      <c r="E51" s="57">
        <f>E46/365*(365-$B$51)</f>
        <v>720714.91643835616</v>
      </c>
      <c r="F51" s="57">
        <f t="shared" ref="F51:X51" si="17">F46/365*(365-$B$51)</f>
        <v>724318.49102054769</v>
      </c>
      <c r="G51" s="57">
        <f t="shared" si="17"/>
        <v>727940.0834756504</v>
      </c>
      <c r="H51" s="57">
        <f t="shared" si="17"/>
        <v>731579.78389302874</v>
      </c>
      <c r="I51" s="57">
        <f t="shared" si="17"/>
        <v>735237.68281249376</v>
      </c>
      <c r="J51" s="57">
        <f t="shared" si="17"/>
        <v>738913.87122655613</v>
      </c>
      <c r="K51" s="57">
        <f t="shared" si="17"/>
        <v>742608.4405826889</v>
      </c>
      <c r="L51" s="57">
        <f t="shared" si="17"/>
        <v>746321.48278560222</v>
      </c>
      <c r="M51" s="57">
        <f t="shared" si="17"/>
        <v>750053.09019953024</v>
      </c>
      <c r="N51" s="57">
        <f t="shared" si="17"/>
        <v>753803.35565052764</v>
      </c>
      <c r="O51" s="57">
        <f t="shared" si="17"/>
        <v>757572.37242878019</v>
      </c>
      <c r="P51" s="57">
        <f t="shared" si="17"/>
        <v>761360.23429092404</v>
      </c>
      <c r="Q51" s="57">
        <f t="shared" si="17"/>
        <v>765167.03546237864</v>
      </c>
      <c r="R51" s="57">
        <f t="shared" si="17"/>
        <v>768992.87063969055</v>
      </c>
      <c r="S51" s="57">
        <f t="shared" si="17"/>
        <v>772837.83499288897</v>
      </c>
      <c r="T51" s="57">
        <f t="shared" si="17"/>
        <v>776702.02416785329</v>
      </c>
      <c r="U51" s="57">
        <f t="shared" si="17"/>
        <v>780585.5342886924</v>
      </c>
      <c r="V51" s="57">
        <f t="shared" si="17"/>
        <v>784488.46196013573</v>
      </c>
      <c r="W51" s="57">
        <f t="shared" si="17"/>
        <v>788410.90426993626</v>
      </c>
      <c r="X51" s="57">
        <f t="shared" si="17"/>
        <v>792352.95879128599</v>
      </c>
    </row>
    <row r="52" spans="1:24" ht="12.75" thickBot="1" x14ac:dyDescent="0.25">
      <c r="A52" s="58" t="s">
        <v>72</v>
      </c>
      <c r="B52" s="59">
        <v>45</v>
      </c>
      <c r="C52" s="59"/>
      <c r="D52" s="41" t="s">
        <v>26</v>
      </c>
      <c r="E52" s="57">
        <f>E47/365*(365-$B$52)</f>
        <v>-659259.00975342467</v>
      </c>
      <c r="F52" s="57">
        <f t="shared" ref="F52:X52" si="18">F47/365*(365-$B$52)</f>
        <v>-670091.37835835619</v>
      </c>
      <c r="G52" s="57">
        <f t="shared" si="18"/>
        <v>-681129.8080966135</v>
      </c>
      <c r="H52" s="57">
        <f t="shared" si="18"/>
        <v>-692378.36725966982</v>
      </c>
      <c r="I52" s="57">
        <f t="shared" si="18"/>
        <v>-703841.20524017082</v>
      </c>
      <c r="J52" s="57">
        <f t="shared" si="18"/>
        <v>-715522.55415263644</v>
      </c>
      <c r="K52" s="57">
        <f t="shared" si="18"/>
        <v>-727426.73048656795</v>
      </c>
      <c r="L52" s="57">
        <f t="shared" si="18"/>
        <v>-739558.1367926104</v>
      </c>
      <c r="M52" s="57">
        <f t="shared" si="18"/>
        <v>-751921.26340243337</v>
      </c>
      <c r="N52" s="57">
        <f t="shared" si="18"/>
        <v>-764520.69018300064</v>
      </c>
      <c r="O52" s="57">
        <f t="shared" si="18"/>
        <v>-777361.08832592017</v>
      </c>
      <c r="P52" s="57">
        <f t="shared" si="18"/>
        <v>-790447.22217257239</v>
      </c>
      <c r="Q52" s="57">
        <f t="shared" si="18"/>
        <v>-803783.9510757362</v>
      </c>
      <c r="R52" s="57">
        <f t="shared" si="18"/>
        <v>-817376.23129844014</v>
      </c>
      <c r="S52" s="57">
        <f t="shared" si="18"/>
        <v>-831229.11795078218</v>
      </c>
      <c r="T52" s="57">
        <f t="shared" si="18"/>
        <v>-845347.76696548087</v>
      </c>
      <c r="U52" s="57">
        <f t="shared" si="18"/>
        <v>-859737.43711293023</v>
      </c>
      <c r="V52" s="57">
        <f t="shared" si="18"/>
        <v>-874403.49205654708</v>
      </c>
      <c r="W52" s="57">
        <f t="shared" si="18"/>
        <v>-889351.40244922147</v>
      </c>
      <c r="X52" s="57">
        <f t="shared" si="18"/>
        <v>-904586.74807168485</v>
      </c>
    </row>
    <row r="53" spans="1:24" x14ac:dyDescent="0.2">
      <c r="A53" s="4" t="s">
        <v>73</v>
      </c>
      <c r="B53" s="13"/>
      <c r="C53" s="28"/>
      <c r="D53" s="41" t="s">
        <v>26</v>
      </c>
      <c r="E53" s="57">
        <f>SUM(E50:E52)</f>
        <v>1471379.0765479454</v>
      </c>
      <c r="F53" s="57">
        <f t="shared" ref="F53:X53" si="19">SUM(F50:F52)</f>
        <v>1471199.8983745198</v>
      </c>
      <c r="G53" s="57">
        <f t="shared" si="19"/>
        <v>1470867.9250199271</v>
      </c>
      <c r="H53" s="57">
        <f t="shared" si="19"/>
        <v>1470379.3545224529</v>
      </c>
      <c r="I53" s="57">
        <f t="shared" si="19"/>
        <v>1469730.3051508623</v>
      </c>
      <c r="J53" s="57">
        <f t="shared" si="19"/>
        <v>1468916.8137903521</v>
      </c>
      <c r="K53" s="57">
        <f t="shared" si="19"/>
        <v>1467934.8342961352</v>
      </c>
      <c r="L53" s="57">
        <f t="shared" si="19"/>
        <v>1466780.2358140061</v>
      </c>
      <c r="M53" s="57">
        <f t="shared" si="19"/>
        <v>1465448.8010672161</v>
      </c>
      <c r="N53" s="57">
        <f t="shared" si="19"/>
        <v>1463936.2246089964</v>
      </c>
      <c r="O53" s="57">
        <f t="shared" si="19"/>
        <v>1462238.1110400367</v>
      </c>
      <c r="P53" s="57">
        <f t="shared" si="19"/>
        <v>1460349.9731902145</v>
      </c>
      <c r="Q53" s="57">
        <f t="shared" si="19"/>
        <v>1458267.2302638644</v>
      </c>
      <c r="R53" s="57">
        <f t="shared" si="19"/>
        <v>1455985.2059478583</v>
      </c>
      <c r="S53" s="57">
        <f t="shared" si="19"/>
        <v>1453499.1264817473</v>
      </c>
      <c r="T53" s="57">
        <f t="shared" si="19"/>
        <v>1450804.1186892106</v>
      </c>
      <c r="U53" s="57">
        <f t="shared" si="19"/>
        <v>1447895.2079700348</v>
      </c>
      <c r="V53" s="57">
        <f t="shared" si="19"/>
        <v>1444767.3162518325</v>
      </c>
      <c r="W53" s="57">
        <f t="shared" si="19"/>
        <v>1441415.2599006994</v>
      </c>
      <c r="X53" s="57">
        <f t="shared" si="19"/>
        <v>1437833.7475899854</v>
      </c>
    </row>
    <row r="54" spans="1:24" x14ac:dyDescent="0.2">
      <c r="A54" s="60" t="s">
        <v>74</v>
      </c>
      <c r="B54" s="13"/>
      <c r="C54" s="13"/>
      <c r="D54" s="41" t="s">
        <v>26</v>
      </c>
      <c r="E54" s="61">
        <f>-SUM(E45:E47)+E53</f>
        <v>-76640.015452054562</v>
      </c>
      <c r="F54" s="61">
        <f t="shared" ref="F54:X54" si="20">-SUM(F45:F47)+F53</f>
        <v>-75963.455185479717</v>
      </c>
      <c r="G54" s="61">
        <f t="shared" si="20"/>
        <v>-75262.151279872283</v>
      </c>
      <c r="H54" s="61">
        <f t="shared" si="20"/>
        <v>-74535.552800285397</v>
      </c>
      <c r="I54" s="61">
        <f t="shared" si="20"/>
        <v>-73783.097512758337</v>
      </c>
      <c r="J54" s="61">
        <f t="shared" si="20"/>
        <v>-73004.211656940635</v>
      </c>
      <c r="K54" s="61">
        <f t="shared" si="20"/>
        <v>-72198.309714154806</v>
      </c>
      <c r="L54" s="61">
        <f t="shared" si="20"/>
        <v>-71364.794170811772</v>
      </c>
      <c r="M54" s="61">
        <f t="shared" si="20"/>
        <v>-70503.055277091684</v>
      </c>
      <c r="N54" s="61">
        <f t="shared" si="20"/>
        <v>-69612.470800790004</v>
      </c>
      <c r="O54" s="61">
        <f t="shared" si="20"/>
        <v>-68692.405776230618</v>
      </c>
      <c r="P54" s="61">
        <f t="shared" si="20"/>
        <v>-67742.212248155149</v>
      </c>
      <c r="Q54" s="61">
        <f t="shared" si="20"/>
        <v>-66761.229010478361</v>
      </c>
      <c r="R54" s="61">
        <f t="shared" si="20"/>
        <v>-65748.781339813489</v>
      </c>
      <c r="S54" s="61">
        <f t="shared" si="20"/>
        <v>-64704.180723658996</v>
      </c>
      <c r="T54" s="61">
        <f t="shared" si="20"/>
        <v>-63626.724583144533</v>
      </c>
      <c r="U54" s="61">
        <f t="shared" si="20"/>
        <v>-62515.695990222506</v>
      </c>
      <c r="V54" s="61">
        <f t="shared" si="20"/>
        <v>-61370.363379197428</v>
      </c>
      <c r="W54" s="61">
        <f t="shared" si="20"/>
        <v>-60189.980252476176</v>
      </c>
      <c r="X54" s="61">
        <f t="shared" si="20"/>
        <v>-58973.784880426712</v>
      </c>
    </row>
    <row r="55" spans="1:24" x14ac:dyDescent="0.2">
      <c r="A55" s="13"/>
    </row>
    <row r="56" spans="1:24" x14ac:dyDescent="0.2">
      <c r="A56" s="62" t="s">
        <v>75</v>
      </c>
      <c r="B56" s="13"/>
      <c r="C56" s="13"/>
      <c r="D56" s="41" t="s">
        <v>26</v>
      </c>
      <c r="E56" s="63">
        <f>E54</f>
        <v>-76640.015452054562</v>
      </c>
      <c r="F56" s="63">
        <f t="shared" ref="F56:X56" si="21">F54</f>
        <v>-75963.455185479717</v>
      </c>
      <c r="G56" s="63">
        <f t="shared" si="21"/>
        <v>-75262.151279872283</v>
      </c>
      <c r="H56" s="63">
        <f t="shared" si="21"/>
        <v>-74535.552800285397</v>
      </c>
      <c r="I56" s="63">
        <f t="shared" si="21"/>
        <v>-73783.097512758337</v>
      </c>
      <c r="J56" s="63">
        <f t="shared" si="21"/>
        <v>-73004.211656940635</v>
      </c>
      <c r="K56" s="63">
        <f t="shared" si="21"/>
        <v>-72198.309714154806</v>
      </c>
      <c r="L56" s="63">
        <f t="shared" si="21"/>
        <v>-71364.794170811772</v>
      </c>
      <c r="M56" s="63">
        <f t="shared" si="21"/>
        <v>-70503.055277091684</v>
      </c>
      <c r="N56" s="63">
        <f t="shared" si="21"/>
        <v>-69612.470800790004</v>
      </c>
      <c r="O56" s="63">
        <f t="shared" si="21"/>
        <v>-68692.405776230618</v>
      </c>
      <c r="P56" s="63">
        <f t="shared" si="21"/>
        <v>-67742.212248155149</v>
      </c>
      <c r="Q56" s="63">
        <f t="shared" si="21"/>
        <v>-66761.229010478361</v>
      </c>
      <c r="R56" s="63">
        <f t="shared" si="21"/>
        <v>-65748.781339813489</v>
      </c>
      <c r="S56" s="63">
        <f t="shared" si="21"/>
        <v>-64704.180723658996</v>
      </c>
      <c r="T56" s="63">
        <f t="shared" si="21"/>
        <v>-63626.724583144533</v>
      </c>
      <c r="U56" s="63">
        <f t="shared" si="21"/>
        <v>-62515.695990222506</v>
      </c>
      <c r="V56" s="63">
        <f t="shared" si="21"/>
        <v>-61370.363379197428</v>
      </c>
      <c r="W56" s="63">
        <f t="shared" si="21"/>
        <v>-60189.980252476176</v>
      </c>
      <c r="X56" s="63">
        <f t="shared" si="21"/>
        <v>-58973.784880426712</v>
      </c>
    </row>
    <row r="58" spans="1:24" ht="12.75" thickBot="1" x14ac:dyDescent="0.25">
      <c r="A58" s="52" t="s">
        <v>76</v>
      </c>
      <c r="B58" s="52"/>
      <c r="C58" s="52"/>
      <c r="D58" s="52"/>
      <c r="E58" s="53" t="s">
        <v>9</v>
      </c>
      <c r="F58" s="53" t="s">
        <v>45</v>
      </c>
      <c r="G58" s="53" t="s">
        <v>46</v>
      </c>
      <c r="H58" s="53" t="s">
        <v>47</v>
      </c>
      <c r="I58" s="53" t="s">
        <v>48</v>
      </c>
      <c r="J58" s="53" t="s">
        <v>49</v>
      </c>
      <c r="K58" s="53" t="s">
        <v>50</v>
      </c>
      <c r="L58" s="53" t="s">
        <v>51</v>
      </c>
      <c r="M58" s="53" t="s">
        <v>52</v>
      </c>
      <c r="N58" s="53" t="s">
        <v>53</v>
      </c>
      <c r="O58" s="53" t="s">
        <v>54</v>
      </c>
      <c r="P58" s="53" t="s">
        <v>55</v>
      </c>
      <c r="Q58" s="53" t="s">
        <v>56</v>
      </c>
      <c r="R58" s="53" t="s">
        <v>57</v>
      </c>
      <c r="S58" s="53" t="s">
        <v>58</v>
      </c>
      <c r="T58" s="53" t="s">
        <v>59</v>
      </c>
      <c r="U58" s="53" t="s">
        <v>60</v>
      </c>
      <c r="V58" s="53" t="s">
        <v>61</v>
      </c>
      <c r="W58" s="53" t="s">
        <v>62</v>
      </c>
      <c r="X58" s="53" t="s">
        <v>63</v>
      </c>
    </row>
    <row r="59" spans="1:24" x14ac:dyDescent="0.2">
      <c r="A59" s="34"/>
      <c r="B59" s="34"/>
      <c r="C59" s="34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x14ac:dyDescent="0.2">
      <c r="A60" s="34" t="s">
        <v>39</v>
      </c>
      <c r="B60" s="34"/>
      <c r="C60" s="34"/>
      <c r="D60" s="41" t="s">
        <v>26</v>
      </c>
      <c r="E60" s="47">
        <f>E34</f>
        <v>1548019.0919999999</v>
      </c>
      <c r="F60" s="47">
        <f t="shared" ref="F60:X60" si="22">F34</f>
        <v>1547163.3535599995</v>
      </c>
      <c r="G60" s="47">
        <f t="shared" si="22"/>
        <v>1546130.0762997994</v>
      </c>
      <c r="H60" s="47">
        <f t="shared" si="22"/>
        <v>1544914.9073227383</v>
      </c>
      <c r="I60" s="47">
        <f t="shared" si="22"/>
        <v>1543513.4026636207</v>
      </c>
      <c r="J60" s="47">
        <f t="shared" si="22"/>
        <v>1541921.0254472927</v>
      </c>
      <c r="K60" s="47">
        <f t="shared" si="22"/>
        <v>1540133.14401029</v>
      </c>
      <c r="L60" s="47">
        <f t="shared" si="22"/>
        <v>1538145.0299848178</v>
      </c>
      <c r="M60" s="47">
        <f t="shared" si="22"/>
        <v>1535951.8563443078</v>
      </c>
      <c r="N60" s="47">
        <f t="shared" si="22"/>
        <v>1533548.6954097864</v>
      </c>
      <c r="O60" s="47">
        <f t="shared" si="22"/>
        <v>1530930.5168162673</v>
      </c>
      <c r="P60" s="47">
        <f t="shared" si="22"/>
        <v>1528092.1854383696</v>
      </c>
      <c r="Q60" s="47">
        <f t="shared" si="22"/>
        <v>1525028.4592743427</v>
      </c>
      <c r="R60" s="47">
        <f t="shared" si="22"/>
        <v>1521733.9872876718</v>
      </c>
      <c r="S60" s="47">
        <f t="shared" si="22"/>
        <v>1518203.3072054063</v>
      </c>
      <c r="T60" s="47">
        <f t="shared" si="22"/>
        <v>1514430.8432723552</v>
      </c>
      <c r="U60" s="47">
        <f t="shared" si="22"/>
        <v>1510410.9039602573</v>
      </c>
      <c r="V60" s="47">
        <f t="shared" si="22"/>
        <v>1506137.67963103</v>
      </c>
      <c r="W60" s="47">
        <f t="shared" si="22"/>
        <v>1501605.2401531755</v>
      </c>
      <c r="X60" s="47">
        <f t="shared" si="22"/>
        <v>1496807.5324704121</v>
      </c>
    </row>
    <row r="61" spans="1:24" x14ac:dyDescent="0.2">
      <c r="A61" s="34" t="s">
        <v>77</v>
      </c>
      <c r="B61" s="34"/>
      <c r="C61" s="34"/>
      <c r="D61" s="41" t="s">
        <v>26</v>
      </c>
      <c r="E61" s="64">
        <f>E56</f>
        <v>-76640.015452054562</v>
      </c>
      <c r="F61" s="64">
        <f t="shared" ref="F61:X61" si="23">F56</f>
        <v>-75963.455185479717</v>
      </c>
      <c r="G61" s="64">
        <f t="shared" si="23"/>
        <v>-75262.151279872283</v>
      </c>
      <c r="H61" s="64">
        <f t="shared" si="23"/>
        <v>-74535.552800285397</v>
      </c>
      <c r="I61" s="64">
        <f t="shared" si="23"/>
        <v>-73783.097512758337</v>
      </c>
      <c r="J61" s="64">
        <f t="shared" si="23"/>
        <v>-73004.211656940635</v>
      </c>
      <c r="K61" s="64">
        <f t="shared" si="23"/>
        <v>-72198.309714154806</v>
      </c>
      <c r="L61" s="64">
        <f t="shared" si="23"/>
        <v>-71364.794170811772</v>
      </c>
      <c r="M61" s="64">
        <f t="shared" si="23"/>
        <v>-70503.055277091684</v>
      </c>
      <c r="N61" s="64">
        <f t="shared" si="23"/>
        <v>-69612.470800790004</v>
      </c>
      <c r="O61" s="64">
        <f t="shared" si="23"/>
        <v>-68692.405776230618</v>
      </c>
      <c r="P61" s="64">
        <f t="shared" si="23"/>
        <v>-67742.212248155149</v>
      </c>
      <c r="Q61" s="64">
        <f t="shared" si="23"/>
        <v>-66761.229010478361</v>
      </c>
      <c r="R61" s="64">
        <f t="shared" si="23"/>
        <v>-65748.781339813489</v>
      </c>
      <c r="S61" s="64">
        <f t="shared" si="23"/>
        <v>-64704.180723658996</v>
      </c>
      <c r="T61" s="64">
        <f t="shared" si="23"/>
        <v>-63626.724583144533</v>
      </c>
      <c r="U61" s="64">
        <f t="shared" si="23"/>
        <v>-62515.695990222506</v>
      </c>
      <c r="V61" s="64">
        <f t="shared" si="23"/>
        <v>-61370.363379197428</v>
      </c>
      <c r="W61" s="64">
        <f t="shared" si="23"/>
        <v>-60189.980252476176</v>
      </c>
      <c r="X61" s="64">
        <f t="shared" si="23"/>
        <v>-58973.784880426712</v>
      </c>
    </row>
    <row r="62" spans="1:24" x14ac:dyDescent="0.2">
      <c r="A62" s="65" t="s">
        <v>78</v>
      </c>
      <c r="B62" s="66"/>
      <c r="C62" s="66"/>
      <c r="D62" s="41" t="s">
        <v>26</v>
      </c>
      <c r="E62" s="87">
        <f>SUM(E60:E61)</f>
        <v>1471379.0765479454</v>
      </c>
      <c r="F62" s="87">
        <f t="shared" ref="F62:X62" si="24">SUM(F60:F61)</f>
        <v>1471199.8983745198</v>
      </c>
      <c r="G62" s="87">
        <f t="shared" si="24"/>
        <v>1470867.9250199271</v>
      </c>
      <c r="H62" s="87">
        <f t="shared" si="24"/>
        <v>1470379.3545224529</v>
      </c>
      <c r="I62" s="87">
        <f t="shared" si="24"/>
        <v>1469730.3051508623</v>
      </c>
      <c r="J62" s="87">
        <f t="shared" si="24"/>
        <v>1468916.8137903521</v>
      </c>
      <c r="K62" s="87">
        <f t="shared" si="24"/>
        <v>1467934.8342961352</v>
      </c>
      <c r="L62" s="87">
        <f t="shared" si="24"/>
        <v>1466780.2358140061</v>
      </c>
      <c r="M62" s="87">
        <f t="shared" si="24"/>
        <v>1465448.8010672161</v>
      </c>
      <c r="N62" s="87">
        <f t="shared" si="24"/>
        <v>1463936.2246089964</v>
      </c>
      <c r="O62" s="87">
        <f t="shared" si="24"/>
        <v>1462238.1110400367</v>
      </c>
      <c r="P62" s="87">
        <f t="shared" si="24"/>
        <v>1460349.9731902145</v>
      </c>
      <c r="Q62" s="87">
        <f t="shared" si="24"/>
        <v>1458267.2302638644</v>
      </c>
      <c r="R62" s="87">
        <f t="shared" si="24"/>
        <v>1455985.2059478583</v>
      </c>
      <c r="S62" s="87">
        <f t="shared" si="24"/>
        <v>1453499.1264817473</v>
      </c>
      <c r="T62" s="87">
        <f t="shared" si="24"/>
        <v>1450804.1186892106</v>
      </c>
      <c r="U62" s="87">
        <f t="shared" si="24"/>
        <v>1447895.2079700348</v>
      </c>
      <c r="V62" s="87">
        <f t="shared" si="24"/>
        <v>1444767.3162518325</v>
      </c>
      <c r="W62" s="87">
        <f t="shared" si="24"/>
        <v>1441415.2599006994</v>
      </c>
      <c r="X62" s="87">
        <f t="shared" si="24"/>
        <v>1437833.7475899854</v>
      </c>
    </row>
    <row r="63" spans="1:24" ht="12.75" thickBot="1" x14ac:dyDescent="0.25"/>
    <row r="64" spans="1:24" ht="12.75" thickBot="1" x14ac:dyDescent="0.25">
      <c r="A64" s="67" t="s">
        <v>79</v>
      </c>
      <c r="B64" s="67"/>
      <c r="C64" s="67"/>
      <c r="D64" s="68" t="s">
        <v>40</v>
      </c>
      <c r="E64" s="69">
        <f>E3*1.2</f>
        <v>18</v>
      </c>
    </row>
    <row r="65" spans="1:5" ht="12.75" thickBot="1" x14ac:dyDescent="0.25">
      <c r="A65" s="96" t="s">
        <v>80</v>
      </c>
      <c r="B65" s="96"/>
      <c r="C65" s="67"/>
      <c r="D65" s="68" t="s">
        <v>40</v>
      </c>
      <c r="E65" s="70">
        <v>1.71</v>
      </c>
    </row>
    <row r="66" spans="1:5" ht="12.75" thickBot="1" x14ac:dyDescent="0.25">
      <c r="A66" s="90" t="s">
        <v>81</v>
      </c>
      <c r="B66" s="90"/>
      <c r="C66" s="67"/>
      <c r="D66" s="68" t="s">
        <v>40</v>
      </c>
      <c r="E66" s="70">
        <f>E65+E64</f>
        <v>19.71</v>
      </c>
    </row>
    <row r="67" spans="1:5" x14ac:dyDescent="0.2">
      <c r="A67" s="67" t="s">
        <v>82</v>
      </c>
      <c r="B67" s="67"/>
      <c r="C67" s="68"/>
      <c r="D67" s="68" t="s">
        <v>83</v>
      </c>
      <c r="E67" s="70">
        <f>E66/E3</f>
        <v>1.3140000000000001</v>
      </c>
    </row>
    <row r="69" spans="1:5" ht="12.75" thickBot="1" x14ac:dyDescent="0.25">
      <c r="A69" s="71" t="s">
        <v>84</v>
      </c>
      <c r="B69" s="58"/>
      <c r="C69" s="58"/>
      <c r="D69" s="58"/>
      <c r="E69" s="72"/>
    </row>
    <row r="70" spans="1:5" x14ac:dyDescent="0.2">
      <c r="A70" s="4" t="s">
        <v>85</v>
      </c>
      <c r="B70" s="13"/>
      <c r="C70" s="13"/>
      <c r="D70" s="26" t="s">
        <v>18</v>
      </c>
      <c r="E70" s="55">
        <v>5.3E-3</v>
      </c>
    </row>
    <row r="71" spans="1:5" x14ac:dyDescent="0.2">
      <c r="A71" s="4" t="s">
        <v>86</v>
      </c>
      <c r="B71" s="13"/>
      <c r="C71" s="13"/>
      <c r="D71" s="26" t="s">
        <v>18</v>
      </c>
      <c r="E71" s="55">
        <v>3.5000000000000003E-2</v>
      </c>
    </row>
    <row r="72" spans="1:5" x14ac:dyDescent="0.2">
      <c r="A72" s="4" t="s">
        <v>87</v>
      </c>
      <c r="B72" s="13"/>
      <c r="C72" s="13"/>
      <c r="D72" s="26" t="s">
        <v>18</v>
      </c>
      <c r="E72" s="55">
        <v>0.8</v>
      </c>
    </row>
    <row r="73" spans="1:5" x14ac:dyDescent="0.2">
      <c r="A73" s="4" t="s">
        <v>88</v>
      </c>
      <c r="B73" s="13"/>
      <c r="C73" s="13"/>
      <c r="D73" s="13"/>
      <c r="E73" s="28">
        <v>20</v>
      </c>
    </row>
    <row r="74" spans="1:5" x14ac:dyDescent="0.2">
      <c r="A74" s="4" t="s">
        <v>89</v>
      </c>
      <c r="B74" s="73">
        <v>1.05</v>
      </c>
      <c r="C74" s="74">
        <v>0.02</v>
      </c>
      <c r="D74" s="13"/>
      <c r="E74" s="13"/>
    </row>
    <row r="75" spans="1:5" x14ac:dyDescent="0.2">
      <c r="A75" s="13"/>
      <c r="B75" s="73">
        <v>1.25</v>
      </c>
      <c r="C75" s="74">
        <v>1.9E-2</v>
      </c>
      <c r="D75" s="13"/>
      <c r="E75" s="13"/>
    </row>
    <row r="76" spans="1:5" x14ac:dyDescent="0.2">
      <c r="A76" s="13"/>
      <c r="B76" s="73">
        <v>1.35</v>
      </c>
      <c r="C76" s="74">
        <v>1.7999999999999999E-2</v>
      </c>
      <c r="D76" s="13"/>
      <c r="E76" s="13"/>
    </row>
    <row r="77" spans="1:5" x14ac:dyDescent="0.2">
      <c r="A77" s="4" t="s">
        <v>90</v>
      </c>
      <c r="B77" s="13"/>
      <c r="C77" s="13"/>
      <c r="D77" s="26" t="s">
        <v>18</v>
      </c>
      <c r="E77" s="55">
        <v>0.06</v>
      </c>
    </row>
    <row r="78" spans="1:5" x14ac:dyDescent="0.2">
      <c r="A78" s="4" t="s">
        <v>91</v>
      </c>
      <c r="B78" s="13"/>
      <c r="C78" s="13"/>
      <c r="D78" s="13"/>
      <c r="E78" s="28">
        <f>E73</f>
        <v>20</v>
      </c>
    </row>
    <row r="79" spans="1:5" x14ac:dyDescent="0.2">
      <c r="A79" s="4" t="s">
        <v>92</v>
      </c>
      <c r="B79" s="13"/>
      <c r="C79" s="13"/>
      <c r="D79" s="26" t="s">
        <v>93</v>
      </c>
      <c r="E79" s="28" t="s">
        <v>94</v>
      </c>
    </row>
    <row r="80" spans="1:5" ht="12.75" thickBot="1" x14ac:dyDescent="0.25">
      <c r="A80" s="4" t="s">
        <v>134</v>
      </c>
      <c r="B80" s="13"/>
      <c r="C80" s="13"/>
      <c r="D80" s="26" t="s">
        <v>93</v>
      </c>
      <c r="E80" s="28" t="s">
        <v>95</v>
      </c>
    </row>
    <row r="81" spans="1:24" x14ac:dyDescent="0.2">
      <c r="A81" s="67" t="s">
        <v>96</v>
      </c>
      <c r="B81" s="67"/>
      <c r="C81" s="67"/>
      <c r="D81" s="68" t="s">
        <v>40</v>
      </c>
      <c r="E81" s="69">
        <f>E82*E83/100</f>
        <v>13.797000000000001</v>
      </c>
    </row>
    <row r="82" spans="1:24" x14ac:dyDescent="0.2">
      <c r="A82" s="4" t="s">
        <v>97</v>
      </c>
      <c r="B82" s="13"/>
      <c r="C82" s="13"/>
      <c r="D82" s="75" t="s">
        <v>40</v>
      </c>
      <c r="E82" s="28">
        <f>E66</f>
        <v>19.71</v>
      </c>
    </row>
    <row r="83" spans="1:24" x14ac:dyDescent="0.2">
      <c r="A83" s="4" t="s">
        <v>98</v>
      </c>
      <c r="B83" s="62"/>
      <c r="C83" s="62"/>
      <c r="D83" s="75" t="s">
        <v>18</v>
      </c>
      <c r="E83" s="28">
        <v>70</v>
      </c>
    </row>
    <row r="84" spans="1:24" x14ac:dyDescent="0.2">
      <c r="A84" s="4" t="s">
        <v>99</v>
      </c>
      <c r="B84" s="62"/>
      <c r="C84" s="62"/>
      <c r="D84" s="75" t="s">
        <v>18</v>
      </c>
      <c r="E84" s="28">
        <v>30</v>
      </c>
    </row>
    <row r="86" spans="1:24" ht="12.75" thickBot="1" x14ac:dyDescent="0.25">
      <c r="A86" s="52" t="s">
        <v>100</v>
      </c>
      <c r="B86" s="52"/>
      <c r="C86" s="52"/>
      <c r="D86" s="52"/>
      <c r="E86" s="53" t="s">
        <v>9</v>
      </c>
      <c r="F86" s="53" t="s">
        <v>45</v>
      </c>
      <c r="G86" s="53" t="s">
        <v>46</v>
      </c>
      <c r="H86" s="53" t="s">
        <v>47</v>
      </c>
      <c r="I86" s="53" t="s">
        <v>48</v>
      </c>
      <c r="J86" s="53" t="s">
        <v>49</v>
      </c>
      <c r="K86" s="53" t="s">
        <v>50</v>
      </c>
      <c r="L86" s="53" t="s">
        <v>51</v>
      </c>
      <c r="M86" s="53" t="s">
        <v>52</v>
      </c>
      <c r="N86" s="53" t="s">
        <v>53</v>
      </c>
      <c r="O86" s="53" t="s">
        <v>54</v>
      </c>
      <c r="P86" s="53" t="s">
        <v>55</v>
      </c>
      <c r="Q86" s="53" t="s">
        <v>56</v>
      </c>
      <c r="R86" s="53" t="s">
        <v>57</v>
      </c>
      <c r="S86" s="53" t="s">
        <v>58</v>
      </c>
      <c r="T86" s="53" t="s">
        <v>59</v>
      </c>
      <c r="U86" s="53" t="s">
        <v>60</v>
      </c>
      <c r="V86" s="53" t="s">
        <v>61</v>
      </c>
      <c r="W86" s="53" t="s">
        <v>62</v>
      </c>
      <c r="X86" s="53" t="s">
        <v>63</v>
      </c>
    </row>
    <row r="88" spans="1:24" x14ac:dyDescent="0.2">
      <c r="A88" s="3" t="s">
        <v>101</v>
      </c>
      <c r="B88" s="89"/>
      <c r="D88" s="41" t="s">
        <v>26</v>
      </c>
      <c r="E88" s="47">
        <f>E62/1.45</f>
        <v>1014744.1907227209</v>
      </c>
      <c r="F88" s="47">
        <f t="shared" ref="F88:T88" si="25">F62/1.45</f>
        <v>1014620.6195686343</v>
      </c>
      <c r="G88" s="47">
        <f t="shared" si="25"/>
        <v>1014391.672427536</v>
      </c>
      <c r="H88" s="47">
        <f t="shared" si="25"/>
        <v>1014054.7272568641</v>
      </c>
      <c r="I88" s="47">
        <f t="shared" si="25"/>
        <v>1013607.1070005947</v>
      </c>
      <c r="J88" s="47">
        <f t="shared" si="25"/>
        <v>1013046.0784761049</v>
      </c>
      <c r="K88" s="47">
        <f t="shared" si="25"/>
        <v>1012368.8512387139</v>
      </c>
      <c r="L88" s="47">
        <f t="shared" si="25"/>
        <v>1011572.5764234525</v>
      </c>
      <c r="M88" s="47">
        <f t="shared" si="25"/>
        <v>1010654.3455635973</v>
      </c>
      <c r="N88" s="47">
        <f t="shared" si="25"/>
        <v>1009611.1893855148</v>
      </c>
      <c r="O88" s="47">
        <f t="shared" si="25"/>
        <v>1008440.0765793356</v>
      </c>
      <c r="P88" s="47">
        <f t="shared" si="25"/>
        <v>1007137.9125449755</v>
      </c>
      <c r="Q88" s="47">
        <f t="shared" si="25"/>
        <v>1005701.53811301</v>
      </c>
      <c r="R88" s="47">
        <f t="shared" si="25"/>
        <v>1004127.7282399023</v>
      </c>
      <c r="S88" s="47">
        <f t="shared" si="25"/>
        <v>1002413.1906770671</v>
      </c>
      <c r="T88" s="47">
        <f t="shared" si="25"/>
        <v>1000554.5646132487</v>
      </c>
      <c r="U88" s="47">
        <f>T96</f>
        <v>624181.09654602304</v>
      </c>
      <c r="V88" s="47"/>
      <c r="W88" s="47"/>
      <c r="X88" s="47"/>
    </row>
    <row r="89" spans="1:24" x14ac:dyDescent="0.2">
      <c r="A89" s="3" t="s">
        <v>102</v>
      </c>
      <c r="E89" s="76">
        <f t="shared" ref="E89:U89" si="26">E62/E88</f>
        <v>1.45</v>
      </c>
      <c r="F89" s="76">
        <f t="shared" si="26"/>
        <v>1.45</v>
      </c>
      <c r="G89" s="76">
        <f t="shared" si="26"/>
        <v>1.45</v>
      </c>
      <c r="H89" s="76">
        <f t="shared" si="26"/>
        <v>1.45</v>
      </c>
      <c r="I89" s="76">
        <f t="shared" si="26"/>
        <v>1.45</v>
      </c>
      <c r="J89" s="76">
        <f t="shared" si="26"/>
        <v>1.45</v>
      </c>
      <c r="K89" s="76">
        <f t="shared" si="26"/>
        <v>1.45</v>
      </c>
      <c r="L89" s="76">
        <f t="shared" si="26"/>
        <v>1.45</v>
      </c>
      <c r="M89" s="76">
        <f t="shared" si="26"/>
        <v>1.45</v>
      </c>
      <c r="N89" s="76">
        <f t="shared" si="26"/>
        <v>1.45</v>
      </c>
      <c r="O89" s="76">
        <f t="shared" si="26"/>
        <v>1.45</v>
      </c>
      <c r="P89" s="76">
        <f t="shared" si="26"/>
        <v>1.45</v>
      </c>
      <c r="Q89" s="76">
        <f t="shared" si="26"/>
        <v>1.45</v>
      </c>
      <c r="R89" s="76">
        <f t="shared" si="26"/>
        <v>1.45</v>
      </c>
      <c r="S89" s="76">
        <f t="shared" si="26"/>
        <v>1.45</v>
      </c>
      <c r="T89" s="76">
        <f t="shared" si="26"/>
        <v>1.45</v>
      </c>
      <c r="U89" s="76">
        <f t="shared" si="26"/>
        <v>2.3196716721831652</v>
      </c>
      <c r="V89" s="76"/>
      <c r="W89" s="76"/>
      <c r="X89" s="76"/>
    </row>
    <row r="90" spans="1:24" x14ac:dyDescent="0.2">
      <c r="A90" s="3" t="s">
        <v>103</v>
      </c>
      <c r="E90" s="77">
        <f t="shared" ref="E90:U90" si="27">CONCATENATE(IF(E89&gt;$B$76,$C$76,IF(E89&lt;$B$76&gt;$B$75,$C$75,$C$74)))+$E$70</f>
        <v>2.3299999999999998E-2</v>
      </c>
      <c r="F90" s="77">
        <f t="shared" si="27"/>
        <v>2.3299999999999998E-2</v>
      </c>
      <c r="G90" s="77">
        <f t="shared" si="27"/>
        <v>2.3299999999999998E-2</v>
      </c>
      <c r="H90" s="77">
        <f t="shared" si="27"/>
        <v>2.3299999999999998E-2</v>
      </c>
      <c r="I90" s="77">
        <f t="shared" si="27"/>
        <v>2.3299999999999998E-2</v>
      </c>
      <c r="J90" s="77">
        <f t="shared" si="27"/>
        <v>2.3299999999999998E-2</v>
      </c>
      <c r="K90" s="77">
        <f t="shared" si="27"/>
        <v>2.3299999999999998E-2</v>
      </c>
      <c r="L90" s="77">
        <f t="shared" si="27"/>
        <v>2.3299999999999998E-2</v>
      </c>
      <c r="M90" s="77">
        <f t="shared" si="27"/>
        <v>2.3299999999999998E-2</v>
      </c>
      <c r="N90" s="77">
        <f t="shared" si="27"/>
        <v>2.3299999999999998E-2</v>
      </c>
      <c r="O90" s="77">
        <f t="shared" si="27"/>
        <v>2.3299999999999998E-2</v>
      </c>
      <c r="P90" s="77">
        <f t="shared" si="27"/>
        <v>2.3299999999999998E-2</v>
      </c>
      <c r="Q90" s="77">
        <f t="shared" si="27"/>
        <v>2.3299999999999998E-2</v>
      </c>
      <c r="R90" s="77">
        <f t="shared" si="27"/>
        <v>2.3299999999999998E-2</v>
      </c>
      <c r="S90" s="77">
        <f t="shared" si="27"/>
        <v>2.3299999999999998E-2</v>
      </c>
      <c r="T90" s="77">
        <f t="shared" si="27"/>
        <v>2.3299999999999998E-2</v>
      </c>
      <c r="U90" s="77">
        <f t="shared" si="27"/>
        <v>2.3299999999999998E-2</v>
      </c>
      <c r="V90" s="77"/>
      <c r="W90" s="77"/>
      <c r="X90" s="77"/>
    </row>
    <row r="91" spans="1:24" x14ac:dyDescent="0.2">
      <c r="A91" s="3" t="s">
        <v>104</v>
      </c>
      <c r="D91" s="41" t="s">
        <v>26</v>
      </c>
      <c r="E91" s="47">
        <f>-E90*E81*1000000</f>
        <v>-321470.09999999998</v>
      </c>
      <c r="F91" s="47">
        <f>-F90*E96</f>
        <v>-305316.81368616055</v>
      </c>
      <c r="G91" s="47">
        <f t="shared" ref="G91:U91" si="28">-G90*F96</f>
        <v>-288790.03500909894</v>
      </c>
      <c r="H91" s="47">
        <f t="shared" si="28"/>
        <v>-271883.51685724931</v>
      </c>
      <c r="I91" s="47">
        <f t="shared" si="28"/>
        <v>-254590.92765493831</v>
      </c>
      <c r="J91" s="47">
        <f t="shared" si="28"/>
        <v>-236905.85067618452</v>
      </c>
      <c r="K91" s="47">
        <f t="shared" si="28"/>
        <v>-218821.78336844637</v>
      </c>
      <c r="L91" s="47">
        <f t="shared" si="28"/>
        <v>-200332.13668706917</v>
      </c>
      <c r="M91" s="47">
        <f t="shared" si="28"/>
        <v>-181430.23444121145</v>
      </c>
      <c r="N91" s="47">
        <f t="shared" si="28"/>
        <v>-162109.31265205986</v>
      </c>
      <c r="O91" s="47">
        <f t="shared" si="28"/>
        <v>-142362.51892417035</v>
      </c>
      <c r="P91" s="47">
        <f t="shared" si="28"/>
        <v>-122182.91183080501</v>
      </c>
      <c r="Q91" s="47">
        <f t="shared" si="28"/>
        <v>-101563.46031416484</v>
      </c>
      <c r="R91" s="47">
        <f t="shared" si="28"/>
        <v>-80497.043101451738</v>
      </c>
      <c r="S91" s="47">
        <f t="shared" si="28"/>
        <v>-58976.448137725849</v>
      </c>
      <c r="T91" s="47">
        <f t="shared" si="28"/>
        <v>-36994.372036559202</v>
      </c>
      <c r="U91" s="47">
        <f t="shared" si="28"/>
        <v>-14543.419549522336</v>
      </c>
      <c r="V91" s="47"/>
      <c r="W91" s="47"/>
      <c r="X91" s="47"/>
    </row>
    <row r="92" spans="1:24" x14ac:dyDescent="0.2">
      <c r="A92" s="3" t="s">
        <v>105</v>
      </c>
      <c r="D92" s="41" t="s">
        <v>26</v>
      </c>
      <c r="E92" s="47">
        <f>-($E$71-$E$70)*E81*1000000*$E$72</f>
        <v>-327816.72000000003</v>
      </c>
      <c r="F92" s="47">
        <f t="shared" ref="F92:U92" si="29">-($E$71-$E$70)*E96*$E$72</f>
        <v>-311344.52760442824</v>
      </c>
      <c r="G92" s="47">
        <f t="shared" si="29"/>
        <v>-294491.46917666064</v>
      </c>
      <c r="H92" s="47">
        <f t="shared" si="29"/>
        <v>-277251.17427159852</v>
      </c>
      <c r="I92" s="47">
        <f t="shared" si="29"/>
        <v>-259617.18631250365</v>
      </c>
      <c r="J92" s="47">
        <f t="shared" si="29"/>
        <v>-241582.96189125089</v>
      </c>
      <c r="K92" s="47">
        <f t="shared" si="29"/>
        <v>-223141.87007872478</v>
      </c>
      <c r="L92" s="47">
        <f t="shared" si="29"/>
        <v>-204287.19174612724</v>
      </c>
      <c r="M92" s="47">
        <f t="shared" si="29"/>
        <v>-185012.11889799079</v>
      </c>
      <c r="N92" s="47">
        <f t="shared" si="29"/>
        <v>-165309.75401772291</v>
      </c>
      <c r="O92" s="47">
        <f t="shared" si="29"/>
        <v>-145173.10942653599</v>
      </c>
      <c r="P92" s="47">
        <f t="shared" si="29"/>
        <v>-124595.10665664927</v>
      </c>
      <c r="Q92" s="47">
        <f t="shared" si="29"/>
        <v>-103568.57583968056</v>
      </c>
      <c r="R92" s="47">
        <f t="shared" si="29"/>
        <v>-82086.255111179998</v>
      </c>
      <c r="S92" s="47">
        <f t="shared" si="29"/>
        <v>-60140.790032290417</v>
      </c>
      <c r="T92" s="47">
        <f t="shared" si="29"/>
        <v>-37724.73302955566</v>
      </c>
      <c r="U92" s="47">
        <f t="shared" si="29"/>
        <v>-14830.54285393351</v>
      </c>
      <c r="V92" s="47"/>
      <c r="W92" s="47"/>
      <c r="X92" s="47"/>
    </row>
    <row r="93" spans="1:24" s="78" customFormat="1" x14ac:dyDescent="0.2">
      <c r="A93" s="78" t="s">
        <v>106</v>
      </c>
      <c r="D93" s="41" t="s">
        <v>26</v>
      </c>
      <c r="E93" s="79">
        <f>E92+E91</f>
        <v>-649286.82000000007</v>
      </c>
      <c r="F93" s="79">
        <f>F92+F91</f>
        <v>-616661.34129058872</v>
      </c>
      <c r="G93" s="79">
        <f t="shared" ref="G93:U93" si="30">G92+G91</f>
        <v>-583281.50418575958</v>
      </c>
      <c r="H93" s="79">
        <f t="shared" si="30"/>
        <v>-549134.69112884789</v>
      </c>
      <c r="I93" s="79">
        <f t="shared" si="30"/>
        <v>-514208.11396744195</v>
      </c>
      <c r="J93" s="79">
        <f t="shared" si="30"/>
        <v>-478488.81256743544</v>
      </c>
      <c r="K93" s="79">
        <f t="shared" si="30"/>
        <v>-441963.65344717115</v>
      </c>
      <c r="L93" s="79">
        <f t="shared" si="30"/>
        <v>-404619.32843319641</v>
      </c>
      <c r="M93" s="79">
        <f t="shared" si="30"/>
        <v>-366442.35333920224</v>
      </c>
      <c r="N93" s="79">
        <f t="shared" si="30"/>
        <v>-327419.06666978274</v>
      </c>
      <c r="O93" s="79">
        <f t="shared" si="30"/>
        <v>-287535.62835070631</v>
      </c>
      <c r="P93" s="79">
        <f t="shared" si="30"/>
        <v>-246778.01848745428</v>
      </c>
      <c r="Q93" s="79">
        <f t="shared" si="30"/>
        <v>-205132.0361538454</v>
      </c>
      <c r="R93" s="79">
        <f t="shared" si="30"/>
        <v>-162583.29821263172</v>
      </c>
      <c r="S93" s="79">
        <f t="shared" si="30"/>
        <v>-119117.23817001627</v>
      </c>
      <c r="T93" s="79">
        <f t="shared" si="30"/>
        <v>-74719.105066114862</v>
      </c>
      <c r="U93" s="79">
        <f t="shared" si="30"/>
        <v>-29373.962403455844</v>
      </c>
      <c r="V93" s="79"/>
      <c r="W93" s="79"/>
      <c r="X93" s="79"/>
    </row>
    <row r="94" spans="1:24" s="78" customFormat="1" x14ac:dyDescent="0.2">
      <c r="A94" s="78" t="s">
        <v>107</v>
      </c>
      <c r="D94" s="41" t="s">
        <v>26</v>
      </c>
      <c r="E94" s="79">
        <f>-E88-E91</f>
        <v>-693274.09072272095</v>
      </c>
      <c r="F94" s="79">
        <f>-F88-F91</f>
        <v>-709303.80588247371</v>
      </c>
      <c r="G94" s="79">
        <f t="shared" ref="G94:U94" si="31">-G88-G91</f>
        <v>-725601.63741843705</v>
      </c>
      <c r="H94" s="79">
        <f t="shared" si="31"/>
        <v>-742171.21039961476</v>
      </c>
      <c r="I94" s="79">
        <f t="shared" si="31"/>
        <v>-759016.17934565642</v>
      </c>
      <c r="J94" s="79">
        <f t="shared" si="31"/>
        <v>-776140.22779992037</v>
      </c>
      <c r="K94" s="79">
        <f t="shared" si="31"/>
        <v>-793547.06787026755</v>
      </c>
      <c r="L94" s="79">
        <f t="shared" si="31"/>
        <v>-811240.43973638327</v>
      </c>
      <c r="M94" s="79">
        <f t="shared" si="31"/>
        <v>-829224.11112238583</v>
      </c>
      <c r="N94" s="79">
        <f t="shared" si="31"/>
        <v>-847501.87673345499</v>
      </c>
      <c r="O94" s="79">
        <f t="shared" si="31"/>
        <v>-866077.5576551652</v>
      </c>
      <c r="P94" s="79">
        <f t="shared" si="31"/>
        <v>-884955.00071417051</v>
      </c>
      <c r="Q94" s="79">
        <f t="shared" si="31"/>
        <v>-904138.07779884513</v>
      </c>
      <c r="R94" s="79">
        <f t="shared" si="31"/>
        <v>-923630.68513845059</v>
      </c>
      <c r="S94" s="79">
        <f t="shared" si="31"/>
        <v>-943436.74253934133</v>
      </c>
      <c r="T94" s="79">
        <f t="shared" si="31"/>
        <v>-963560.19257668953</v>
      </c>
      <c r="U94" s="79">
        <f t="shared" si="31"/>
        <v>-609637.6769965007</v>
      </c>
      <c r="V94" s="79">
        <f>-U96</f>
        <v>-14543.419549522339</v>
      </c>
      <c r="W94" s="79"/>
      <c r="X94" s="79"/>
    </row>
    <row r="95" spans="1:24" x14ac:dyDescent="0.2">
      <c r="A95" s="3" t="s">
        <v>108</v>
      </c>
      <c r="D95" s="41" t="s">
        <v>26</v>
      </c>
      <c r="E95" s="80">
        <f>E94+E93</f>
        <v>-1342560.9107227209</v>
      </c>
      <c r="F95" s="80">
        <f>F94+F93</f>
        <v>-1325965.1471730624</v>
      </c>
      <c r="G95" s="80">
        <f t="shared" ref="G95:U95" si="32">G94+G93</f>
        <v>-1308883.1416041967</v>
      </c>
      <c r="H95" s="80">
        <f t="shared" si="32"/>
        <v>-1291305.9015284628</v>
      </c>
      <c r="I95" s="80">
        <f t="shared" si="32"/>
        <v>-1273224.2933130984</v>
      </c>
      <c r="J95" s="80">
        <f t="shared" si="32"/>
        <v>-1254629.0403673558</v>
      </c>
      <c r="K95" s="80">
        <f t="shared" si="32"/>
        <v>-1235510.7213174386</v>
      </c>
      <c r="L95" s="80">
        <f t="shared" si="32"/>
        <v>-1215859.7681695796</v>
      </c>
      <c r="M95" s="80">
        <f t="shared" si="32"/>
        <v>-1195666.4644615881</v>
      </c>
      <c r="N95" s="80">
        <f t="shared" si="32"/>
        <v>-1174920.9434032377</v>
      </c>
      <c r="O95" s="80">
        <f t="shared" si="32"/>
        <v>-1153613.1860058715</v>
      </c>
      <c r="P95" s="80">
        <f t="shared" si="32"/>
        <v>-1131733.0192016247</v>
      </c>
      <c r="Q95" s="80">
        <f t="shared" si="32"/>
        <v>-1109270.1139526905</v>
      </c>
      <c r="R95" s="80">
        <f t="shared" si="32"/>
        <v>-1086213.9833510823</v>
      </c>
      <c r="S95" s="80">
        <f t="shared" si="32"/>
        <v>-1062553.9807093577</v>
      </c>
      <c r="T95" s="80">
        <f t="shared" si="32"/>
        <v>-1038279.2976428044</v>
      </c>
      <c r="U95" s="80">
        <f t="shared" si="32"/>
        <v>-639011.63939995656</v>
      </c>
      <c r="V95" s="80"/>
      <c r="W95" s="80"/>
      <c r="X95" s="80"/>
    </row>
    <row r="96" spans="1:24" x14ac:dyDescent="0.2">
      <c r="A96" s="3" t="s">
        <v>109</v>
      </c>
      <c r="D96" s="41" t="s">
        <v>26</v>
      </c>
      <c r="E96" s="47">
        <f>E81*1000000+E94</f>
        <v>13103725.909277279</v>
      </c>
      <c r="F96" s="47">
        <f>E96+F94</f>
        <v>12394422.103394805</v>
      </c>
      <c r="G96" s="47">
        <f t="shared" ref="G96:V96" si="33">F96+G94</f>
        <v>11668820.465976367</v>
      </c>
      <c r="H96" s="47">
        <f t="shared" si="33"/>
        <v>10926649.255576752</v>
      </c>
      <c r="I96" s="47">
        <f t="shared" si="33"/>
        <v>10167633.076231096</v>
      </c>
      <c r="J96" s="47">
        <f t="shared" si="33"/>
        <v>9391492.8484311756</v>
      </c>
      <c r="K96" s="47">
        <f t="shared" si="33"/>
        <v>8597945.7805609088</v>
      </c>
      <c r="L96" s="47">
        <f t="shared" si="33"/>
        <v>7786705.3408245258</v>
      </c>
      <c r="M96" s="47">
        <f t="shared" si="33"/>
        <v>6957481.2297021402</v>
      </c>
      <c r="N96" s="47">
        <f t="shared" si="33"/>
        <v>6109979.3529686853</v>
      </c>
      <c r="O96" s="47">
        <f t="shared" si="33"/>
        <v>5243901.7953135204</v>
      </c>
      <c r="P96" s="47">
        <f t="shared" si="33"/>
        <v>4358946.7945993496</v>
      </c>
      <c r="Q96" s="47">
        <f t="shared" si="33"/>
        <v>3454808.7168005044</v>
      </c>
      <c r="R96" s="47">
        <f t="shared" si="33"/>
        <v>2531178.0316620539</v>
      </c>
      <c r="S96" s="47">
        <f t="shared" si="33"/>
        <v>1587741.2891227126</v>
      </c>
      <c r="T96" s="47">
        <f t="shared" si="33"/>
        <v>624181.09654602304</v>
      </c>
      <c r="U96" s="47">
        <f t="shared" si="33"/>
        <v>14543.419549522339</v>
      </c>
      <c r="V96" s="47">
        <f t="shared" si="33"/>
        <v>0</v>
      </c>
      <c r="W96" s="47"/>
      <c r="X96" s="47"/>
    </row>
    <row r="98" spans="1:24" s="78" customFormat="1" x14ac:dyDescent="0.2">
      <c r="A98" s="78" t="s">
        <v>110</v>
      </c>
      <c r="D98" s="41" t="s">
        <v>26</v>
      </c>
      <c r="E98" s="42">
        <f>E62+E95</f>
        <v>128818.16582522448</v>
      </c>
      <c r="F98" s="42">
        <f t="shared" ref="F98:X98" si="34">F62+F95</f>
        <v>145234.75120145734</v>
      </c>
      <c r="G98" s="42">
        <f t="shared" si="34"/>
        <v>161984.78341573034</v>
      </c>
      <c r="H98" s="42">
        <f t="shared" si="34"/>
        <v>179073.45299399015</v>
      </c>
      <c r="I98" s="42">
        <f t="shared" si="34"/>
        <v>196506.01183776394</v>
      </c>
      <c r="J98" s="42">
        <f t="shared" si="34"/>
        <v>214287.77342299628</v>
      </c>
      <c r="K98" s="42">
        <f t="shared" si="34"/>
        <v>232424.11297869659</v>
      </c>
      <c r="L98" s="42">
        <f t="shared" si="34"/>
        <v>250920.46764442651</v>
      </c>
      <c r="M98" s="42">
        <f t="shared" si="34"/>
        <v>269782.33660562802</v>
      </c>
      <c r="N98" s="42">
        <f t="shared" si="34"/>
        <v>289015.28120575869</v>
      </c>
      <c r="O98" s="42">
        <f t="shared" si="34"/>
        <v>308624.92503416515</v>
      </c>
      <c r="P98" s="42">
        <f t="shared" si="34"/>
        <v>328616.95398858981</v>
      </c>
      <c r="Q98" s="42">
        <f t="shared" si="34"/>
        <v>348997.11631117389</v>
      </c>
      <c r="R98" s="42">
        <f t="shared" si="34"/>
        <v>369771.22259677597</v>
      </c>
      <c r="S98" s="42">
        <f t="shared" si="34"/>
        <v>390945.1457723896</v>
      </c>
      <c r="T98" s="42">
        <f t="shared" si="34"/>
        <v>412524.82104640617</v>
      </c>
      <c r="U98" s="42">
        <f t="shared" si="34"/>
        <v>808883.56857007823</v>
      </c>
      <c r="V98" s="42">
        <f t="shared" si="34"/>
        <v>1444767.3162518325</v>
      </c>
      <c r="W98" s="42">
        <f t="shared" si="34"/>
        <v>1441415.2599006994</v>
      </c>
      <c r="X98" s="42">
        <f t="shared" si="34"/>
        <v>1437833.7475899854</v>
      </c>
    </row>
    <row r="99" spans="1:24" x14ac:dyDescent="0.2">
      <c r="A99" s="3" t="s">
        <v>111</v>
      </c>
      <c r="E99" s="81" t="str">
        <f>CONCATENATE(IF(E89&gt;=1.15,IF(E89="Nul","YES","NO")))</f>
        <v>NO</v>
      </c>
      <c r="F99" s="81" t="str">
        <f t="shared" ref="F99:X99" si="35">CONCATENATE(IF(F89&gt;=1.15,IF(F89="Nul","YES","NO")))</f>
        <v>NO</v>
      </c>
      <c r="G99" s="81" t="str">
        <f t="shared" si="35"/>
        <v>NO</v>
      </c>
      <c r="H99" s="81" t="str">
        <f t="shared" si="35"/>
        <v>NO</v>
      </c>
      <c r="I99" s="81" t="str">
        <f t="shared" si="35"/>
        <v>NO</v>
      </c>
      <c r="J99" s="81" t="str">
        <f t="shared" si="35"/>
        <v>NO</v>
      </c>
      <c r="K99" s="81" t="str">
        <f t="shared" si="35"/>
        <v>NO</v>
      </c>
      <c r="L99" s="81" t="str">
        <f t="shared" si="35"/>
        <v>NO</v>
      </c>
      <c r="M99" s="81" t="str">
        <f t="shared" si="35"/>
        <v>NO</v>
      </c>
      <c r="N99" s="81" t="str">
        <f t="shared" si="35"/>
        <v>NO</v>
      </c>
      <c r="O99" s="81" t="str">
        <f t="shared" si="35"/>
        <v>NO</v>
      </c>
      <c r="P99" s="81" t="str">
        <f t="shared" si="35"/>
        <v>NO</v>
      </c>
      <c r="Q99" s="81" t="str">
        <f t="shared" si="35"/>
        <v>NO</v>
      </c>
      <c r="R99" s="81" t="str">
        <f t="shared" si="35"/>
        <v>NO</v>
      </c>
      <c r="S99" s="81" t="str">
        <f t="shared" si="35"/>
        <v>NO</v>
      </c>
      <c r="T99" s="81" t="str">
        <f t="shared" si="35"/>
        <v>NO</v>
      </c>
      <c r="U99" s="81" t="str">
        <f t="shared" si="35"/>
        <v>NO</v>
      </c>
      <c r="V99" s="81" t="str">
        <f t="shared" si="35"/>
        <v>FALSO</v>
      </c>
      <c r="W99" s="81" t="str">
        <f t="shared" si="35"/>
        <v>FALSO</v>
      </c>
      <c r="X99" s="81" t="str">
        <f t="shared" si="35"/>
        <v>FALSO</v>
      </c>
    </row>
    <row r="100" spans="1:24" x14ac:dyDescent="0.2"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x14ac:dyDescent="0.2">
      <c r="A101" s="3" t="s">
        <v>112</v>
      </c>
      <c r="D101" s="41" t="s">
        <v>26</v>
      </c>
      <c r="E101" s="47">
        <f>-(E82-E81)*1000000*E77</f>
        <v>-354780</v>
      </c>
      <c r="F101" s="47">
        <f>-E105*$E$77</f>
        <v>-386076.71005048649</v>
      </c>
      <c r="G101" s="47">
        <f t="shared" ref="G101:X101" si="36">-F105*$E$77</f>
        <v>-419831.06308395258</v>
      </c>
      <c r="H101" s="47">
        <f t="shared" si="36"/>
        <v>-456293.39301824354</v>
      </c>
      <c r="I101" s="47">
        <f t="shared" si="36"/>
        <v>-495741.25907061092</v>
      </c>
      <c r="J101" s="47">
        <f t="shared" si="36"/>
        <v>-538482.43685811223</v>
      </c>
      <c r="K101" s="47">
        <f t="shared" si="36"/>
        <v>-584858.23850712483</v>
      </c>
      <c r="L101" s="47">
        <f t="shared" si="36"/>
        <v>-635247.19796418666</v>
      </c>
      <c r="M101" s="47">
        <f t="shared" si="36"/>
        <v>-690069.16168158175</v>
      </c>
      <c r="N101" s="47">
        <f t="shared" si="36"/>
        <v>-749789.82927021803</v>
      </c>
      <c r="O101" s="47">
        <f t="shared" si="36"/>
        <v>-814925.7936175965</v>
      </c>
      <c r="P101" s="47">
        <f t="shared" si="36"/>
        <v>-886050.13541348232</v>
      </c>
      <c r="Q101" s="47">
        <f t="shared" si="36"/>
        <v>-963798.63306964992</v>
      </c>
      <c r="R101" s="47">
        <f t="shared" si="36"/>
        <v>-1048876.655728641</v>
      </c>
      <c r="S101" s="47">
        <f t="shared" si="36"/>
        <v>-1142066.814502985</v>
      </c>
      <c r="T101" s="47">
        <f t="shared" si="36"/>
        <v>-1244237.4553519699</v>
      </c>
      <c r="U101" s="47">
        <f t="shared" si="36"/>
        <v>-1356352.0861779023</v>
      </c>
      <c r="V101" s="47">
        <f t="shared" si="36"/>
        <v>-1457017.8015432667</v>
      </c>
      <c r="W101" s="47">
        <f t="shared" si="36"/>
        <v>-1530603.7207379162</v>
      </c>
      <c r="X101" s="47">
        <f t="shared" si="36"/>
        <v>-1612485.2144250448</v>
      </c>
    </row>
    <row r="102" spans="1:24" x14ac:dyDescent="0.2">
      <c r="A102" s="3" t="s">
        <v>113</v>
      </c>
      <c r="D102" s="41" t="s">
        <v>26</v>
      </c>
      <c r="E102" s="47">
        <f>-(E82-E81)*1000000/E78</f>
        <v>-295650</v>
      </c>
      <c r="F102" s="47">
        <f>-E105/$E$73</f>
        <v>-321730.59170873876</v>
      </c>
      <c r="G102" s="47">
        <f t="shared" ref="G102:X102" si="37">-F105/$E$73</f>
        <v>-349859.21923662716</v>
      </c>
      <c r="H102" s="47">
        <f t="shared" si="37"/>
        <v>-380244.49418186967</v>
      </c>
      <c r="I102" s="47">
        <f t="shared" si="37"/>
        <v>-413117.71589217579</v>
      </c>
      <c r="J102" s="47">
        <f t="shared" si="37"/>
        <v>-448735.36404842685</v>
      </c>
      <c r="K102" s="47">
        <f t="shared" si="37"/>
        <v>-487381.86542260402</v>
      </c>
      <c r="L102" s="47">
        <f t="shared" si="37"/>
        <v>-529372.66497015557</v>
      </c>
      <c r="M102" s="47">
        <f t="shared" si="37"/>
        <v>-575057.63473465142</v>
      </c>
      <c r="N102" s="47">
        <f t="shared" si="37"/>
        <v>-624824.85772518173</v>
      </c>
      <c r="O102" s="47">
        <f t="shared" si="37"/>
        <v>-679104.82801466377</v>
      </c>
      <c r="P102" s="47">
        <f t="shared" si="37"/>
        <v>-738375.11284456856</v>
      </c>
      <c r="Q102" s="47">
        <f t="shared" si="37"/>
        <v>-803165.52755804162</v>
      </c>
      <c r="R102" s="47">
        <f t="shared" si="37"/>
        <v>-874063.87977386755</v>
      </c>
      <c r="S102" s="47">
        <f t="shared" si="37"/>
        <v>-951722.34541915415</v>
      </c>
      <c r="T102" s="47">
        <f t="shared" si="37"/>
        <v>-1036864.5461266417</v>
      </c>
      <c r="U102" s="47">
        <f t="shared" si="37"/>
        <v>-1130293.4051482519</v>
      </c>
      <c r="V102" s="47">
        <f t="shared" si="37"/>
        <v>-1214181.5012860557</v>
      </c>
      <c r="W102" s="47">
        <f t="shared" si="37"/>
        <v>-1275503.10061493</v>
      </c>
      <c r="X102" s="47">
        <f t="shared" si="37"/>
        <v>-1343737.6786875376</v>
      </c>
    </row>
    <row r="103" spans="1:24" x14ac:dyDescent="0.2">
      <c r="A103" s="3" t="s">
        <v>114</v>
      </c>
      <c r="D103" s="41" t="s">
        <v>26</v>
      </c>
      <c r="E103" s="47">
        <f>E102+E101</f>
        <v>-650430</v>
      </c>
      <c r="F103" s="47">
        <f>F102+F101</f>
        <v>-707807.30175922532</v>
      </c>
      <c r="G103" s="47">
        <f t="shared" ref="G103:X103" si="38">G102+G101</f>
        <v>-769690.28232057975</v>
      </c>
      <c r="H103" s="47">
        <f t="shared" si="38"/>
        <v>-836537.88720011315</v>
      </c>
      <c r="I103" s="47">
        <f t="shared" si="38"/>
        <v>-908858.97496278677</v>
      </c>
      <c r="J103" s="47">
        <f t="shared" si="38"/>
        <v>-987217.80090653908</v>
      </c>
      <c r="K103" s="47">
        <f t="shared" si="38"/>
        <v>-1072240.1039297287</v>
      </c>
      <c r="L103" s="47">
        <f t="shared" si="38"/>
        <v>-1164619.8629343421</v>
      </c>
      <c r="M103" s="47">
        <f t="shared" si="38"/>
        <v>-1265126.7964162333</v>
      </c>
      <c r="N103" s="47">
        <f t="shared" si="38"/>
        <v>-1374614.6869953997</v>
      </c>
      <c r="O103" s="47">
        <f t="shared" si="38"/>
        <v>-1494030.6216322603</v>
      </c>
      <c r="P103" s="47">
        <f t="shared" si="38"/>
        <v>-1624425.248258051</v>
      </c>
      <c r="Q103" s="47">
        <f t="shared" si="38"/>
        <v>-1766964.1606276915</v>
      </c>
      <c r="R103" s="47">
        <f t="shared" si="38"/>
        <v>-1922940.5355025085</v>
      </c>
      <c r="S103" s="47">
        <f t="shared" si="38"/>
        <v>-2093789.1599221393</v>
      </c>
      <c r="T103" s="47">
        <f t="shared" si="38"/>
        <v>-2281102.0014786115</v>
      </c>
      <c r="U103" s="47">
        <f t="shared" si="38"/>
        <v>-2486645.4913261542</v>
      </c>
      <c r="V103" s="47">
        <f t="shared" si="38"/>
        <v>-2671199.3028293224</v>
      </c>
      <c r="W103" s="47">
        <f t="shared" si="38"/>
        <v>-2806106.821352846</v>
      </c>
      <c r="X103" s="47">
        <f t="shared" si="38"/>
        <v>-2956222.8931125822</v>
      </c>
    </row>
    <row r="104" spans="1:24" x14ac:dyDescent="0.2">
      <c r="A104" s="3" t="s">
        <v>115</v>
      </c>
      <c r="D104" s="41" t="s">
        <v>26</v>
      </c>
      <c r="E104" s="47">
        <f>-E103-E98</f>
        <v>521611.83417477552</v>
      </c>
      <c r="F104" s="47">
        <f>-F103-F98</f>
        <v>562572.55055776797</v>
      </c>
      <c r="G104" s="47">
        <f t="shared" ref="G104:X104" si="39">-G103-G98</f>
        <v>607705.4989048494</v>
      </c>
      <c r="H104" s="47">
        <f t="shared" si="39"/>
        <v>657464.434206123</v>
      </c>
      <c r="I104" s="47">
        <f t="shared" si="39"/>
        <v>712352.96312502283</v>
      </c>
      <c r="J104" s="47">
        <f t="shared" si="39"/>
        <v>772930.0274835428</v>
      </c>
      <c r="K104" s="47">
        <f t="shared" si="39"/>
        <v>839815.99095103214</v>
      </c>
      <c r="L104" s="47">
        <f t="shared" si="39"/>
        <v>913699.39528991561</v>
      </c>
      <c r="M104" s="47">
        <f t="shared" si="39"/>
        <v>995344.45981060527</v>
      </c>
      <c r="N104" s="47">
        <f t="shared" si="39"/>
        <v>1085599.405789641</v>
      </c>
      <c r="O104" s="47">
        <f t="shared" si="39"/>
        <v>1185405.6965980951</v>
      </c>
      <c r="P104" s="47">
        <f t="shared" si="39"/>
        <v>1295808.2942694612</v>
      </c>
      <c r="Q104" s="47">
        <f t="shared" si="39"/>
        <v>1417967.0443165177</v>
      </c>
      <c r="R104" s="47">
        <f t="shared" si="39"/>
        <v>1553169.3129057325</v>
      </c>
      <c r="S104" s="47">
        <f t="shared" si="39"/>
        <v>1702844.0141497497</v>
      </c>
      <c r="T104" s="47">
        <f t="shared" si="39"/>
        <v>1868577.1804322053</v>
      </c>
      <c r="U104" s="47">
        <f t="shared" si="39"/>
        <v>1677761.9227560759</v>
      </c>
      <c r="V104" s="47">
        <f t="shared" si="39"/>
        <v>1226431.9865774899</v>
      </c>
      <c r="W104" s="47">
        <f t="shared" si="39"/>
        <v>1364691.5614521466</v>
      </c>
      <c r="X104" s="47">
        <f t="shared" si="39"/>
        <v>1518389.1455225968</v>
      </c>
    </row>
    <row r="105" spans="1:24" x14ac:dyDescent="0.2">
      <c r="A105" s="3" t="s">
        <v>116</v>
      </c>
      <c r="D105" s="41" t="s">
        <v>26</v>
      </c>
      <c r="E105" s="47">
        <f>IF(E104&gt;0,(E82-E81)*1000000+E104,(E82-E81)*1000000+E102)</f>
        <v>6434611.8341747755</v>
      </c>
      <c r="F105" s="47">
        <f>IF(F104&gt;0,E105+F104,E105+F102)</f>
        <v>6997184.3847325435</v>
      </c>
      <c r="G105" s="47">
        <f t="shared" ref="G105:X105" si="40">IF(G104&gt;0,F105+G104,F105+G102)</f>
        <v>7604889.8836373929</v>
      </c>
      <c r="H105" s="47">
        <f t="shared" si="40"/>
        <v>8262354.3178435154</v>
      </c>
      <c r="I105" s="47">
        <f t="shared" si="40"/>
        <v>8974707.2809685376</v>
      </c>
      <c r="J105" s="47">
        <f t="shared" si="40"/>
        <v>9747637.3084520809</v>
      </c>
      <c r="K105" s="47">
        <f t="shared" si="40"/>
        <v>10587453.299403112</v>
      </c>
      <c r="L105" s="47">
        <f t="shared" si="40"/>
        <v>11501152.694693029</v>
      </c>
      <c r="M105" s="47">
        <f t="shared" si="40"/>
        <v>12496497.154503634</v>
      </c>
      <c r="N105" s="47">
        <f t="shared" si="40"/>
        <v>13582096.560293276</v>
      </c>
      <c r="O105" s="47">
        <f t="shared" si="40"/>
        <v>14767502.256891372</v>
      </c>
      <c r="P105" s="47">
        <f t="shared" si="40"/>
        <v>16063310.551160833</v>
      </c>
      <c r="Q105" s="47">
        <f t="shared" si="40"/>
        <v>17481277.59547735</v>
      </c>
      <c r="R105" s="47">
        <f t="shared" si="40"/>
        <v>19034446.908383083</v>
      </c>
      <c r="S105" s="47">
        <f t="shared" si="40"/>
        <v>20737290.922532834</v>
      </c>
      <c r="T105" s="47">
        <f t="shared" si="40"/>
        <v>22605868.102965038</v>
      </c>
      <c r="U105" s="47">
        <f t="shared" si="40"/>
        <v>24283630.025721114</v>
      </c>
      <c r="V105" s="47">
        <f t="shared" si="40"/>
        <v>25510062.012298603</v>
      </c>
      <c r="W105" s="47">
        <f t="shared" si="40"/>
        <v>26874753.573750749</v>
      </c>
      <c r="X105" s="47">
        <f t="shared" si="40"/>
        <v>28393142.719273347</v>
      </c>
    </row>
    <row r="106" spans="1:24" s="78" customFormat="1" x14ac:dyDescent="0.2">
      <c r="A106" s="78" t="s">
        <v>117</v>
      </c>
      <c r="D106" s="41" t="s">
        <v>26</v>
      </c>
      <c r="E106" s="42">
        <f>IF(E98+E103&lt;0,0,E98+E103)</f>
        <v>0</v>
      </c>
      <c r="F106" s="42">
        <f t="shared" ref="F106:X106" si="41">IF(F98+F103&lt;0,0,F98+F103)</f>
        <v>0</v>
      </c>
      <c r="G106" s="42">
        <f t="shared" si="41"/>
        <v>0</v>
      </c>
      <c r="H106" s="42">
        <f t="shared" si="41"/>
        <v>0</v>
      </c>
      <c r="I106" s="42">
        <f t="shared" si="41"/>
        <v>0</v>
      </c>
      <c r="J106" s="42">
        <f t="shared" si="41"/>
        <v>0</v>
      </c>
      <c r="K106" s="42">
        <f t="shared" si="41"/>
        <v>0</v>
      </c>
      <c r="L106" s="42">
        <f t="shared" si="41"/>
        <v>0</v>
      </c>
      <c r="M106" s="42">
        <f t="shared" si="41"/>
        <v>0</v>
      </c>
      <c r="N106" s="42">
        <f t="shared" si="41"/>
        <v>0</v>
      </c>
      <c r="O106" s="42">
        <f t="shared" si="41"/>
        <v>0</v>
      </c>
      <c r="P106" s="42">
        <f t="shared" si="41"/>
        <v>0</v>
      </c>
      <c r="Q106" s="42">
        <f t="shared" si="41"/>
        <v>0</v>
      </c>
      <c r="R106" s="42">
        <f t="shared" si="41"/>
        <v>0</v>
      </c>
      <c r="S106" s="42">
        <f t="shared" si="41"/>
        <v>0</v>
      </c>
      <c r="T106" s="42">
        <f t="shared" si="41"/>
        <v>0</v>
      </c>
      <c r="U106" s="42">
        <f t="shared" si="41"/>
        <v>0</v>
      </c>
      <c r="V106" s="42">
        <f t="shared" si="41"/>
        <v>0</v>
      </c>
      <c r="W106" s="42">
        <f t="shared" si="41"/>
        <v>0</v>
      </c>
      <c r="X106" s="42">
        <f t="shared" si="41"/>
        <v>0</v>
      </c>
    </row>
    <row r="108" spans="1:24" x14ac:dyDescent="0.2">
      <c r="A108" s="36" t="s">
        <v>118</v>
      </c>
      <c r="B108" s="37"/>
      <c r="C108" s="37"/>
      <c r="D108" s="37"/>
      <c r="E108" s="39">
        <f>E37+E93+E101</f>
        <v>-441547.72800000012</v>
      </c>
      <c r="F108" s="39">
        <f t="shared" ref="F108:X108" si="42">F37+F93+F101</f>
        <v>-441074.69778107572</v>
      </c>
      <c r="G108" s="39">
        <f t="shared" si="42"/>
        <v>-442482.49096991279</v>
      </c>
      <c r="H108" s="39">
        <f t="shared" si="42"/>
        <v>-446013.17682435311</v>
      </c>
      <c r="I108" s="39">
        <f t="shared" si="42"/>
        <v>-451935.97037443222</v>
      </c>
      <c r="J108" s="39">
        <f t="shared" si="42"/>
        <v>-460550.22397825494</v>
      </c>
      <c r="K108" s="39">
        <f t="shared" si="42"/>
        <v>-472188.74794400594</v>
      </c>
      <c r="L108" s="39">
        <f t="shared" si="42"/>
        <v>-487221.49641256523</v>
      </c>
      <c r="M108" s="39">
        <f t="shared" si="42"/>
        <v>-506059.65867647622</v>
      </c>
      <c r="N108" s="39">
        <f t="shared" si="42"/>
        <v>-529160.20053021435</v>
      </c>
      <c r="O108" s="39">
        <f t="shared" si="42"/>
        <v>-557030.90515203553</v>
      </c>
      <c r="P108" s="39">
        <f t="shared" si="42"/>
        <v>-590235.96846256696</v>
      </c>
      <c r="Q108" s="39">
        <f t="shared" si="42"/>
        <v>-629402.20994915254</v>
      </c>
      <c r="R108" s="39">
        <f t="shared" si="42"/>
        <v>-675225.96665360092</v>
      </c>
      <c r="S108" s="39">
        <f t="shared" si="42"/>
        <v>-728480.74546759506</v>
      </c>
      <c r="T108" s="39">
        <f t="shared" si="42"/>
        <v>-790025.71714572958</v>
      </c>
      <c r="U108" s="39">
        <f t="shared" si="42"/>
        <v>-860815.14462110086</v>
      </c>
      <c r="V108" s="39">
        <f t="shared" si="42"/>
        <v>-936380.12191223679</v>
      </c>
      <c r="W108" s="39">
        <f t="shared" si="42"/>
        <v>-1014498.4805847406</v>
      </c>
      <c r="X108" s="39">
        <f t="shared" si="42"/>
        <v>-1101177.6819546327</v>
      </c>
    </row>
    <row r="109" spans="1:24" x14ac:dyDescent="0.2">
      <c r="A109" s="50" t="s">
        <v>41</v>
      </c>
      <c r="B109" s="50"/>
      <c r="C109" s="50"/>
      <c r="D109" s="41" t="s">
        <v>18</v>
      </c>
      <c r="E109" s="51">
        <f>E108/E20</f>
        <v>-0.19197840822015302</v>
      </c>
      <c r="F109" s="51">
        <f t="shared" ref="F109:X109" si="43">F108/F20</f>
        <v>-0.19081864844921603</v>
      </c>
      <c r="G109" s="51">
        <f t="shared" si="43"/>
        <v>-0.19047531428024983</v>
      </c>
      <c r="H109" s="51">
        <f t="shared" si="43"/>
        <v>-0.19103996779473931</v>
      </c>
      <c r="I109" s="51">
        <f t="shared" si="43"/>
        <v>-0.19261379759776448</v>
      </c>
      <c r="J109" s="51">
        <f t="shared" si="43"/>
        <v>-0.19530862433568771</v>
      </c>
      <c r="K109" s="51">
        <f t="shared" si="43"/>
        <v>-0.19924801124629082</v>
      </c>
      <c r="L109" s="51">
        <f t="shared" si="43"/>
        <v>-0.20456849071423516</v>
      </c>
      <c r="M109" s="51">
        <f t="shared" si="43"/>
        <v>-0.211420918951124</v>
      </c>
      <c r="N109" s="51">
        <f t="shared" si="43"/>
        <v>-0.2199719721856192</v>
      </c>
      <c r="O109" s="51">
        <f t="shared" si="43"/>
        <v>-0.2304057991475327</v>
      </c>
      <c r="P109" s="51">
        <f t="shared" si="43"/>
        <v>-0.24292584617437984</v>
      </c>
      <c r="Q109" s="51">
        <f t="shared" si="43"/>
        <v>-0.25775687297483008</v>
      </c>
      <c r="R109" s="51">
        <f t="shared" si="43"/>
        <v>-0.275147178967662</v>
      </c>
      <c r="S109" s="51">
        <f t="shared" si="43"/>
        <v>-0.29537106219586629</v>
      </c>
      <c r="T109" s="51">
        <f t="shared" si="43"/>
        <v>-0.31873153511398378</v>
      </c>
      <c r="U109" s="51">
        <f t="shared" si="43"/>
        <v>-0.34556332408536222</v>
      </c>
      <c r="V109" s="51">
        <f t="shared" si="43"/>
        <v>-0.37402778706812984</v>
      </c>
      <c r="W109" s="51">
        <f t="shared" si="43"/>
        <v>-0.40321531694612767</v>
      </c>
      <c r="X109" s="51">
        <f t="shared" si="43"/>
        <v>-0.43548876910672063</v>
      </c>
    </row>
    <row r="111" spans="1:24" ht="12.75" thickBot="1" x14ac:dyDescent="0.25">
      <c r="A111" s="52" t="s">
        <v>119</v>
      </c>
      <c r="B111" s="52"/>
      <c r="C111" s="52"/>
      <c r="D111" s="52"/>
      <c r="E111" s="53" t="s">
        <v>9</v>
      </c>
      <c r="F111" s="53" t="s">
        <v>45</v>
      </c>
      <c r="G111" s="53" t="s">
        <v>46</v>
      </c>
      <c r="H111" s="53" t="s">
        <v>47</v>
      </c>
      <c r="I111" s="53" t="s">
        <v>48</v>
      </c>
      <c r="J111" s="53" t="s">
        <v>49</v>
      </c>
      <c r="K111" s="53" t="s">
        <v>50</v>
      </c>
      <c r="L111" s="53" t="s">
        <v>51</v>
      </c>
      <c r="M111" s="53" t="s">
        <v>52</v>
      </c>
      <c r="N111" s="53" t="s">
        <v>53</v>
      </c>
      <c r="O111" s="53" t="s">
        <v>54</v>
      </c>
      <c r="P111" s="53" t="s">
        <v>55</v>
      </c>
      <c r="Q111" s="53" t="s">
        <v>56</v>
      </c>
      <c r="R111" s="53" t="s">
        <v>57</v>
      </c>
      <c r="S111" s="53" t="s">
        <v>58</v>
      </c>
      <c r="T111" s="53" t="s">
        <v>59</v>
      </c>
      <c r="U111" s="53" t="s">
        <v>60</v>
      </c>
      <c r="V111" s="53" t="s">
        <v>61</v>
      </c>
      <c r="W111" s="53" t="s">
        <v>62</v>
      </c>
      <c r="X111" s="53" t="s">
        <v>63</v>
      </c>
    </row>
    <row r="113" spans="1:24" x14ac:dyDescent="0.2">
      <c r="A113" s="3" t="s">
        <v>120</v>
      </c>
      <c r="E113" s="47">
        <f>IF(E108&lt;0,0,E108*30%)</f>
        <v>0</v>
      </c>
      <c r="F113" s="47">
        <f t="shared" ref="F113:X113" si="44">IF(F108&lt;0,0,F108*30%)</f>
        <v>0</v>
      </c>
      <c r="G113" s="47">
        <f t="shared" si="44"/>
        <v>0</v>
      </c>
      <c r="H113" s="47">
        <f t="shared" si="44"/>
        <v>0</v>
      </c>
      <c r="I113" s="47">
        <f t="shared" si="44"/>
        <v>0</v>
      </c>
      <c r="J113" s="47">
        <f t="shared" si="44"/>
        <v>0</v>
      </c>
      <c r="K113" s="47">
        <f t="shared" si="44"/>
        <v>0</v>
      </c>
      <c r="L113" s="47">
        <f t="shared" si="44"/>
        <v>0</v>
      </c>
      <c r="M113" s="47">
        <f t="shared" si="44"/>
        <v>0</v>
      </c>
      <c r="N113" s="47">
        <f t="shared" si="44"/>
        <v>0</v>
      </c>
      <c r="O113" s="47">
        <f t="shared" si="44"/>
        <v>0</v>
      </c>
      <c r="P113" s="47">
        <f t="shared" si="44"/>
        <v>0</v>
      </c>
      <c r="Q113" s="47">
        <f t="shared" si="44"/>
        <v>0</v>
      </c>
      <c r="R113" s="47">
        <f t="shared" si="44"/>
        <v>0</v>
      </c>
      <c r="S113" s="47">
        <f t="shared" si="44"/>
        <v>0</v>
      </c>
      <c r="T113" s="47">
        <f t="shared" si="44"/>
        <v>0</v>
      </c>
      <c r="U113" s="47">
        <f t="shared" si="44"/>
        <v>0</v>
      </c>
      <c r="V113" s="47">
        <f t="shared" si="44"/>
        <v>0</v>
      </c>
      <c r="W113" s="47">
        <f t="shared" si="44"/>
        <v>0</v>
      </c>
      <c r="X113" s="47">
        <f t="shared" si="44"/>
        <v>0</v>
      </c>
    </row>
    <row r="114" spans="1:24" x14ac:dyDescent="0.2">
      <c r="A114" s="3" t="s">
        <v>121</v>
      </c>
      <c r="D114" s="41" t="s">
        <v>26</v>
      </c>
      <c r="E114" s="80">
        <f>E108</f>
        <v>-441547.72800000012</v>
      </c>
      <c r="F114" s="80">
        <f>IF(F108&lt;0,E114+F108,E114+F113)</f>
        <v>-882622.42578107584</v>
      </c>
      <c r="G114" s="80">
        <f t="shared" ref="G114:X114" si="45">IF(G108&lt;0,F114+G108,F114+G113)</f>
        <v>-1325104.9167509887</v>
      </c>
      <c r="H114" s="80">
        <f t="shared" si="45"/>
        <v>-1771118.0935753419</v>
      </c>
      <c r="I114" s="80">
        <f t="shared" si="45"/>
        <v>-2223054.063949774</v>
      </c>
      <c r="J114" s="80">
        <f t="shared" si="45"/>
        <v>-2683604.287928029</v>
      </c>
      <c r="K114" s="80">
        <f t="shared" si="45"/>
        <v>-3155793.0358720347</v>
      </c>
      <c r="L114" s="80">
        <f t="shared" si="45"/>
        <v>-3643014.5322845997</v>
      </c>
      <c r="M114" s="80">
        <f t="shared" si="45"/>
        <v>-4149074.1909610759</v>
      </c>
      <c r="N114" s="80">
        <f t="shared" si="45"/>
        <v>-4678234.3914912902</v>
      </c>
      <c r="O114" s="80">
        <f t="shared" si="45"/>
        <v>-5235265.2966433261</v>
      </c>
      <c r="P114" s="80">
        <f t="shared" si="45"/>
        <v>-5825501.2651058929</v>
      </c>
      <c r="Q114" s="80">
        <f t="shared" si="45"/>
        <v>-6454903.4750550454</v>
      </c>
      <c r="R114" s="80">
        <f t="shared" si="45"/>
        <v>-7130129.4417086467</v>
      </c>
      <c r="S114" s="80">
        <f t="shared" si="45"/>
        <v>-7858610.1871762415</v>
      </c>
      <c r="T114" s="80">
        <f t="shared" si="45"/>
        <v>-8648635.9043219704</v>
      </c>
      <c r="U114" s="80">
        <f t="shared" si="45"/>
        <v>-9509451.0489430707</v>
      </c>
      <c r="V114" s="80">
        <f t="shared" si="45"/>
        <v>-10445831.170855308</v>
      </c>
      <c r="W114" s="80">
        <f t="shared" si="45"/>
        <v>-11460329.651440049</v>
      </c>
      <c r="X114" s="80">
        <f t="shared" si="45"/>
        <v>-12561507.333394682</v>
      </c>
    </row>
    <row r="116" spans="1:24" ht="12.75" thickBot="1" x14ac:dyDescent="0.25">
      <c r="A116" s="52" t="s">
        <v>122</v>
      </c>
      <c r="B116" s="52"/>
      <c r="C116" s="52"/>
      <c r="D116" s="52"/>
      <c r="E116" s="53" t="s">
        <v>9</v>
      </c>
      <c r="F116" s="53" t="s">
        <v>45</v>
      </c>
      <c r="G116" s="53" t="s">
        <v>46</v>
      </c>
      <c r="H116" s="53" t="s">
        <v>47</v>
      </c>
      <c r="I116" s="53" t="s">
        <v>48</v>
      </c>
      <c r="J116" s="53" t="s">
        <v>49</v>
      </c>
      <c r="K116" s="53" t="s">
        <v>50</v>
      </c>
      <c r="L116" s="53" t="s">
        <v>51</v>
      </c>
      <c r="M116" s="53" t="s">
        <v>52</v>
      </c>
      <c r="N116" s="53" t="s">
        <v>53</v>
      </c>
      <c r="O116" s="53" t="s">
        <v>54</v>
      </c>
      <c r="P116" s="53" t="s">
        <v>55</v>
      </c>
      <c r="Q116" s="53" t="s">
        <v>56</v>
      </c>
      <c r="R116" s="53" t="s">
        <v>57</v>
      </c>
      <c r="S116" s="53" t="s">
        <v>58</v>
      </c>
      <c r="T116" s="53" t="s">
        <v>59</v>
      </c>
      <c r="U116" s="53" t="s">
        <v>60</v>
      </c>
      <c r="V116" s="53" t="s">
        <v>61</v>
      </c>
      <c r="W116" s="53" t="s">
        <v>62</v>
      </c>
      <c r="X116" s="53" t="s">
        <v>63</v>
      </c>
    </row>
    <row r="118" spans="1:24" x14ac:dyDescent="0.2">
      <c r="A118" s="3" t="s">
        <v>123</v>
      </c>
      <c r="D118" s="41" t="s">
        <v>26</v>
      </c>
      <c r="E118" s="47">
        <f>-E103-E104</f>
        <v>128818.16582522448</v>
      </c>
      <c r="F118" s="47">
        <f t="shared" ref="F118:X118" si="46">-F103-F104</f>
        <v>145234.75120145734</v>
      </c>
      <c r="G118" s="47">
        <f t="shared" si="46"/>
        <v>161984.78341573034</v>
      </c>
      <c r="H118" s="47">
        <f t="shared" si="46"/>
        <v>179073.45299399015</v>
      </c>
      <c r="I118" s="47">
        <f t="shared" si="46"/>
        <v>196506.01183776394</v>
      </c>
      <c r="J118" s="47">
        <f t="shared" si="46"/>
        <v>214287.77342299628</v>
      </c>
      <c r="K118" s="47">
        <f t="shared" si="46"/>
        <v>232424.11297869659</v>
      </c>
      <c r="L118" s="47">
        <f t="shared" si="46"/>
        <v>250920.46764442651</v>
      </c>
      <c r="M118" s="47">
        <f t="shared" si="46"/>
        <v>269782.33660562802</v>
      </c>
      <c r="N118" s="47">
        <f t="shared" si="46"/>
        <v>289015.28120575869</v>
      </c>
      <c r="O118" s="47">
        <f t="shared" si="46"/>
        <v>308624.92503416515</v>
      </c>
      <c r="P118" s="47">
        <f t="shared" si="46"/>
        <v>328616.95398858981</v>
      </c>
      <c r="Q118" s="47">
        <f t="shared" si="46"/>
        <v>348997.11631117389</v>
      </c>
      <c r="R118" s="47">
        <f t="shared" si="46"/>
        <v>369771.22259677597</v>
      </c>
      <c r="S118" s="47">
        <f t="shared" si="46"/>
        <v>390945.1457723896</v>
      </c>
      <c r="T118" s="47">
        <f t="shared" si="46"/>
        <v>412524.82104640617</v>
      </c>
      <c r="U118" s="47">
        <f t="shared" si="46"/>
        <v>808883.56857007835</v>
      </c>
      <c r="V118" s="47">
        <f t="shared" si="46"/>
        <v>1444767.3162518325</v>
      </c>
      <c r="W118" s="47">
        <f t="shared" si="46"/>
        <v>1441415.2599006994</v>
      </c>
      <c r="X118" s="47">
        <f t="shared" si="46"/>
        <v>1437833.7475899854</v>
      </c>
    </row>
    <row r="119" spans="1:24" x14ac:dyDescent="0.2">
      <c r="A119" s="82" t="s">
        <v>124</v>
      </c>
      <c r="D119" s="41" t="s">
        <v>26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</row>
    <row r="120" spans="1:24" x14ac:dyDescent="0.2">
      <c r="A120" s="82" t="s">
        <v>125</v>
      </c>
      <c r="D120" s="41" t="s">
        <v>26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</row>
    <row r="121" spans="1:24" x14ac:dyDescent="0.2">
      <c r="A121" s="65" t="s">
        <v>126</v>
      </c>
      <c r="B121" s="66"/>
      <c r="C121" s="66"/>
      <c r="D121" s="83">
        <f>-(E82-E81)*1000000</f>
        <v>-5913000</v>
      </c>
      <c r="E121" s="83">
        <f>SUM(E118:E120)</f>
        <v>128818.16582522448</v>
      </c>
      <c r="F121" s="83">
        <f t="shared" ref="F121:X121" si="47">SUM(F118:F120)</f>
        <v>145234.75120145734</v>
      </c>
      <c r="G121" s="83">
        <f t="shared" si="47"/>
        <v>161984.78341573034</v>
      </c>
      <c r="H121" s="83">
        <f t="shared" si="47"/>
        <v>179073.45299399015</v>
      </c>
      <c r="I121" s="83">
        <f t="shared" si="47"/>
        <v>196506.01183776394</v>
      </c>
      <c r="J121" s="83">
        <f t="shared" si="47"/>
        <v>214287.77342299628</v>
      </c>
      <c r="K121" s="83">
        <f t="shared" si="47"/>
        <v>232424.11297869659</v>
      </c>
      <c r="L121" s="83">
        <f t="shared" si="47"/>
        <v>250920.46764442651</v>
      </c>
      <c r="M121" s="83">
        <f t="shared" si="47"/>
        <v>269782.33660562802</v>
      </c>
      <c r="N121" s="83">
        <f t="shared" si="47"/>
        <v>289015.28120575869</v>
      </c>
      <c r="O121" s="83">
        <f t="shared" si="47"/>
        <v>308624.92503416515</v>
      </c>
      <c r="P121" s="83">
        <f t="shared" si="47"/>
        <v>328616.95398858981</v>
      </c>
      <c r="Q121" s="83">
        <f t="shared" si="47"/>
        <v>348997.11631117389</v>
      </c>
      <c r="R121" s="83">
        <f t="shared" si="47"/>
        <v>369771.22259677597</v>
      </c>
      <c r="S121" s="83">
        <f t="shared" si="47"/>
        <v>390945.1457723896</v>
      </c>
      <c r="T121" s="83">
        <f t="shared" si="47"/>
        <v>412524.82104640617</v>
      </c>
      <c r="U121" s="83">
        <f t="shared" si="47"/>
        <v>808883.56857007835</v>
      </c>
      <c r="V121" s="83">
        <f t="shared" si="47"/>
        <v>1444767.3162518325</v>
      </c>
      <c r="W121" s="83">
        <f t="shared" si="47"/>
        <v>1441415.2599006994</v>
      </c>
      <c r="X121" s="83">
        <f t="shared" si="47"/>
        <v>1437833.7475899854</v>
      </c>
    </row>
    <row r="122" spans="1:24" x14ac:dyDescent="0.2">
      <c r="A122" s="78" t="s">
        <v>131</v>
      </c>
      <c r="B122" s="78"/>
      <c r="C122" s="78"/>
      <c r="D122" s="84">
        <f>IRR(D121:X121)</f>
        <v>3.2647092406833167E-2</v>
      </c>
    </row>
    <row r="123" spans="1:24" s="78" customFormat="1" x14ac:dyDescent="0.2">
      <c r="A123" s="78" t="s">
        <v>127</v>
      </c>
      <c r="E123" s="85">
        <f>-E121/$D$121</f>
        <v>2.1785585290922456E-2</v>
      </c>
      <c r="F123" s="85">
        <f t="shared" ref="F123:X123" si="48">-F121/$D$121</f>
        <v>2.4561939996864086E-2</v>
      </c>
      <c r="G123" s="85">
        <f t="shared" si="48"/>
        <v>2.73946868621225E-2</v>
      </c>
      <c r="H123" s="85">
        <f t="shared" si="48"/>
        <v>3.0284703702687325E-2</v>
      </c>
      <c r="I123" s="85">
        <f t="shared" si="48"/>
        <v>3.3232878714318272E-2</v>
      </c>
      <c r="J123" s="85">
        <f t="shared" si="48"/>
        <v>3.6240110506172207E-2</v>
      </c>
      <c r="K123" s="85">
        <f t="shared" si="48"/>
        <v>3.9307308131015829E-2</v>
      </c>
      <c r="L123" s="85">
        <f t="shared" si="48"/>
        <v>4.2435391111859719E-2</v>
      </c>
      <c r="M123" s="85">
        <f t="shared" si="48"/>
        <v>4.5625289464844919E-2</v>
      </c>
      <c r="N123" s="85">
        <f t="shared" si="48"/>
        <v>4.8877943718207119E-2</v>
      </c>
      <c r="O123" s="85">
        <f t="shared" si="48"/>
        <v>5.219430492713769E-2</v>
      </c>
      <c r="P123" s="85">
        <f t="shared" si="48"/>
        <v>5.5575334684354778E-2</v>
      </c>
      <c r="Q123" s="85">
        <f t="shared" si="48"/>
        <v>5.9022005126192101E-2</v>
      </c>
      <c r="R123" s="85">
        <f t="shared" si="48"/>
        <v>6.2535298934005751E-2</v>
      </c>
      <c r="S123" s="85">
        <f t="shared" si="48"/>
        <v>6.6116209330693315E-2</v>
      </c>
      <c r="T123" s="85">
        <f t="shared" si="48"/>
        <v>6.9765740072113336E-2</v>
      </c>
      <c r="U123" s="85">
        <f t="shared" si="48"/>
        <v>0.13679749172502592</v>
      </c>
      <c r="V123" s="85">
        <f t="shared" si="48"/>
        <v>0.24433744567086632</v>
      </c>
      <c r="W123" s="85">
        <f t="shared" si="48"/>
        <v>0.24377054961960076</v>
      </c>
      <c r="X123" s="85">
        <f t="shared" si="48"/>
        <v>0.24316484823101392</v>
      </c>
    </row>
    <row r="124" spans="1:24" x14ac:dyDescent="0.2">
      <c r="A124" s="78" t="s">
        <v>128</v>
      </c>
      <c r="B124" s="86">
        <v>0.12</v>
      </c>
    </row>
    <row r="125" spans="1:24" x14ac:dyDescent="0.2">
      <c r="A125" s="78" t="s">
        <v>129</v>
      </c>
      <c r="B125" s="42">
        <f>NPV(B124,D121:X121)</f>
        <v>-3345253.0949870087</v>
      </c>
    </row>
    <row r="127" spans="1:24" s="78" customFormat="1" x14ac:dyDescent="0.2">
      <c r="A127" s="78" t="s">
        <v>130</v>
      </c>
      <c r="D127" s="42">
        <f>-E82*1000000</f>
        <v>-19710000</v>
      </c>
      <c r="E127" s="42">
        <f>E62-E113</f>
        <v>1471379.0765479454</v>
      </c>
      <c r="F127" s="42">
        <f t="shared" ref="F127:X127" si="49">F62-F113</f>
        <v>1471199.8983745198</v>
      </c>
      <c r="G127" s="42">
        <f t="shared" si="49"/>
        <v>1470867.9250199271</v>
      </c>
      <c r="H127" s="42">
        <f t="shared" si="49"/>
        <v>1470379.3545224529</v>
      </c>
      <c r="I127" s="42">
        <f t="shared" si="49"/>
        <v>1469730.3051508623</v>
      </c>
      <c r="J127" s="42">
        <f t="shared" si="49"/>
        <v>1468916.8137903521</v>
      </c>
      <c r="K127" s="42">
        <f t="shared" si="49"/>
        <v>1467934.8342961352</v>
      </c>
      <c r="L127" s="42">
        <f t="shared" si="49"/>
        <v>1466780.2358140061</v>
      </c>
      <c r="M127" s="42">
        <f t="shared" si="49"/>
        <v>1465448.8010672161</v>
      </c>
      <c r="N127" s="42">
        <f t="shared" si="49"/>
        <v>1463936.2246089964</v>
      </c>
      <c r="O127" s="42">
        <f t="shared" si="49"/>
        <v>1462238.1110400367</v>
      </c>
      <c r="P127" s="42">
        <f t="shared" si="49"/>
        <v>1460349.9731902145</v>
      </c>
      <c r="Q127" s="42">
        <f t="shared" si="49"/>
        <v>1458267.2302638644</v>
      </c>
      <c r="R127" s="42">
        <f t="shared" si="49"/>
        <v>1455985.2059478583</v>
      </c>
      <c r="S127" s="42">
        <f t="shared" si="49"/>
        <v>1453499.1264817473</v>
      </c>
      <c r="T127" s="42">
        <f t="shared" si="49"/>
        <v>1450804.1186892106</v>
      </c>
      <c r="U127" s="42">
        <f t="shared" si="49"/>
        <v>1447895.2079700348</v>
      </c>
      <c r="V127" s="42">
        <f t="shared" si="49"/>
        <v>1444767.3162518325</v>
      </c>
      <c r="W127" s="42">
        <f t="shared" si="49"/>
        <v>1441415.2599006994</v>
      </c>
      <c r="X127" s="42">
        <f t="shared" si="49"/>
        <v>1437833.7475899854</v>
      </c>
    </row>
    <row r="128" spans="1:24" s="78" customFormat="1" x14ac:dyDescent="0.2">
      <c r="A128" s="78" t="s">
        <v>132</v>
      </c>
      <c r="D128" s="88">
        <f>IRR(D127:X127)</f>
        <v>4.0926188990835222E-2</v>
      </c>
    </row>
    <row r="129" spans="1:24" s="78" customFormat="1" x14ac:dyDescent="0.2">
      <c r="A129" s="78" t="s">
        <v>133</v>
      </c>
      <c r="D129" s="88"/>
      <c r="E129" s="85">
        <f>E127/-$D$127</f>
        <v>7.465139911455837E-2</v>
      </c>
      <c r="F129" s="85">
        <f t="shared" ref="F129:X129" si="50">F127/-$D$127</f>
        <v>7.4642308390386589E-2</v>
      </c>
      <c r="G129" s="85">
        <f t="shared" si="50"/>
        <v>7.462546550075734E-2</v>
      </c>
      <c r="H129" s="85">
        <f t="shared" si="50"/>
        <v>7.460067755060644E-2</v>
      </c>
      <c r="I129" s="85">
        <f t="shared" si="50"/>
        <v>7.4567747597709913E-2</v>
      </c>
      <c r="J129" s="85">
        <f t="shared" si="50"/>
        <v>7.4526474570794116E-2</v>
      </c>
      <c r="K129" s="85">
        <f t="shared" si="50"/>
        <v>7.4476653186003813E-2</v>
      </c>
      <c r="L129" s="85">
        <f t="shared" si="50"/>
        <v>7.4418073861694883E-2</v>
      </c>
      <c r="M129" s="85">
        <f t="shared" si="50"/>
        <v>7.4350522631517812E-2</v>
      </c>
      <c r="N129" s="85">
        <f t="shared" si="50"/>
        <v>7.4273781055758312E-2</v>
      </c>
      <c r="O129" s="85">
        <f t="shared" si="50"/>
        <v>7.4187626130899881E-2</v>
      </c>
      <c r="P129" s="85">
        <f t="shared" si="50"/>
        <v>7.409183019737263E-2</v>
      </c>
      <c r="Q129" s="85">
        <f t="shared" si="50"/>
        <v>7.3986160845452273E-2</v>
      </c>
      <c r="R129" s="85">
        <f t="shared" si="50"/>
        <v>7.3870380819272358E-2</v>
      </c>
      <c r="S129" s="85">
        <f t="shared" si="50"/>
        <v>7.3744247918911585E-2</v>
      </c>
      <c r="T129" s="85">
        <f t="shared" si="50"/>
        <v>7.3607514900518048E-2</v>
      </c>
      <c r="U129" s="85">
        <f t="shared" si="50"/>
        <v>7.3459929374430993E-2</v>
      </c>
      <c r="V129" s="85">
        <f t="shared" si="50"/>
        <v>7.3301233701259891E-2</v>
      </c>
      <c r="W129" s="85">
        <f t="shared" si="50"/>
        <v>7.3131164885880229E-2</v>
      </c>
      <c r="X129" s="85">
        <f t="shared" si="50"/>
        <v>7.2949454469304176E-2</v>
      </c>
    </row>
    <row r="130" spans="1:24" x14ac:dyDescent="0.2">
      <c r="A130" s="78" t="s">
        <v>128</v>
      </c>
      <c r="B130" s="86">
        <v>0.04</v>
      </c>
    </row>
    <row r="131" spans="1:24" x14ac:dyDescent="0.2">
      <c r="A131" s="78" t="s">
        <v>129</v>
      </c>
      <c r="B131" s="42">
        <f>NPV(B130,D127:X127)</f>
        <v>155140.08184888191</v>
      </c>
    </row>
  </sheetData>
  <mergeCells count="7">
    <mergeCell ref="A66:B66"/>
    <mergeCell ref="B1:B2"/>
    <mergeCell ref="C1:C2"/>
    <mergeCell ref="D1:D2"/>
    <mergeCell ref="E1:E2"/>
    <mergeCell ref="A42:B42"/>
    <mergeCell ref="A65:B65"/>
  </mergeCells>
  <pageMargins left="0.75" right="0.75" top="1" bottom="1" header="0.5" footer="0.5"/>
  <pageSetup paperSize="9" orientation="portrait" horizontalDpi="4294967292" verticalDpi="4294967292"/>
  <ignoredErrors>
    <ignoredError sqref="E94:U94 F30:X30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Carlos Ruiz Nicolas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Ruiz</dc:creator>
  <cp:lastModifiedBy>User</cp:lastModifiedBy>
  <dcterms:created xsi:type="dcterms:W3CDTF">2013-11-21T11:27:30Z</dcterms:created>
  <dcterms:modified xsi:type="dcterms:W3CDTF">2016-10-14T00:13:40Z</dcterms:modified>
</cp:coreProperties>
</file>